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nYhIoSJG+ky4wwEHJhlbREUrRtJ5M2vHYHstyX/tKkenx+A9vQiiVd+8NerkqgugAMlJcejxeatIwvpItnzDtg==" workbookSaltValue="dkWHUfkIkkHv/laBi9AA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E18" i="12" l="1"/>
  <c r="S19" i="8"/>
  <c r="C12" i="14"/>
  <c r="K12" i="14" s="1"/>
  <c r="AB13" i="21"/>
  <c r="BG10" i="8"/>
  <c r="V10" i="16"/>
  <c r="X15" i="16"/>
  <c r="X18" i="16" s="1"/>
  <c r="L17" i="2"/>
  <c r="L12" i="2"/>
  <c r="S16" i="17"/>
  <c r="S15" i="17"/>
  <c r="BK10" i="11"/>
  <c r="BH12" i="16"/>
  <c r="BM9" i="11"/>
  <c r="S17" i="17"/>
  <c r="BG16" i="11"/>
  <c r="BH11" i="11"/>
  <c r="BK16" i="11"/>
  <c r="BJ10" i="11"/>
  <c r="BL10" i="11"/>
  <c r="BI9" i="11"/>
  <c r="BG12" i="11"/>
  <c r="BW10" i="20"/>
  <c r="BW12" i="20"/>
  <c r="BU11" i="17"/>
  <c r="BK17" i="11"/>
  <c r="BJ12" i="11"/>
  <c r="BM12" i="11"/>
  <c r="BF10" i="11"/>
  <c r="BM16" i="11"/>
  <c r="BH11" i="16"/>
  <c r="AL16" i="11"/>
  <c r="C16" i="6"/>
  <c r="BE9" i="13"/>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<sst xmlns="http://schemas.openxmlformats.org/spreadsheetml/2006/main" count="2074" uniqueCount="909">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</sst>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eWxaV6LBsVGjXl2al3XiXJ11fnAI4dGh83VGNWj9IzGLDaTzcRnu6S+qvpejEcT0vqWRBXlEuYbzEAaHNLsZQ==" saltValue="QBLvrjReoZpSVAQgW0iD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CACERES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3391</v>
      </c>
      <c r="D9" s="404">
        <f>IF(ISNUMBER(C9/Datos!BH9),C9/Datos!BH9," - ")</f>
        <v>678.2</v>
      </c>
      <c r="E9" s="403">
        <f>IF(ISNUMBER(IF(J_V="SI",Datos!J9,Datos!J9+Datos!Z9)),IF(J_V="SI",Datos!J9,Datos!J9+Datos!Z9)," - ")</f>
        <v>1671</v>
      </c>
      <c r="F9" s="404">
        <f>IF(ISNUMBER(E9/B9),E9/B9," - ")</f>
        <v>334.2</v>
      </c>
      <c r="G9" s="403">
        <f>IF(ISNUMBER(IF(J_V="SI",Datos!K9,Datos!K9+Datos!AA9)),IF(J_V="SI",Datos!K9,Datos!K9+Datos!AA9)," - ")</f>
        <v>1494</v>
      </c>
      <c r="H9" s="404">
        <f>IF(ISNUMBER(G9/B9),G9/B9," - ")</f>
        <v>298.8</v>
      </c>
      <c r="I9" s="403">
        <f>IF(ISNUMBER(IF(J_V="SI",Datos!L9,Datos!L9+Datos!AB9)),IF(J_V="SI",Datos!L9,Datos!L9+Datos!AB9)," - ")</f>
        <v>3568</v>
      </c>
      <c r="J9" s="404">
        <f>IF(ISNUMBER(I9/B9),I9/B9," - ")</f>
        <v>713.6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171</v>
      </c>
      <c r="D10" s="404">
        <f>IF(ISNUMBER(C10/Datos!BH10),C10/Datos!BH10," - ")</f>
        <v>85.5</v>
      </c>
      <c r="E10" s="403">
        <f>IF(ISNUMBER(Datos!J10),Datos!J10," - ")</f>
        <v>48</v>
      </c>
      <c r="F10" s="404">
        <f>IF(ISNUMBER(E10/B10),E10/B10," - ")</f>
        <v>24</v>
      </c>
      <c r="G10" s="403">
        <f>IF(ISNUMBER(Datos!K10),Datos!K10," - ")</f>
        <v>11</v>
      </c>
      <c r="H10" s="404">
        <f>IF(ISNUMBER(G10/B10),G10/B10," - ")</f>
        <v>5.5</v>
      </c>
      <c r="I10" s="403">
        <f>IF(ISNUMBER(Datos!L10),Datos!L10," - ")</f>
        <v>208</v>
      </c>
      <c r="J10" s="404">
        <f>IF(ISNUMBER(I10/B10),I10/B10," - ")</f>
        <v>104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196</v>
      </c>
      <c r="D12" s="404" t="str">
        <f>IF(ISNUMBER(C12/Datos!BH12),C12/Datos!BH12," - ")</f>
        <v xml:space="preserve"> - </v>
      </c>
      <c r="E12" s="403">
        <f>IF(ISNUMBER(IF(J_V="SI",Datos!J12,Datos!J12+Datos!Z12)),IF(J_V="SI",Datos!J12,Datos!J12+Datos!Z12)," - ")</f>
        <v>3</v>
      </c>
      <c r="F12" s="404" t="str">
        <f>IF(ISNUMBER(E12/B12),E12/B12," - ")</f>
        <v xml:space="preserve"> - </v>
      </c>
      <c r="G12" s="403">
        <f>IF(ISNUMBER(IF(J_V="SI",Datos!K12,Datos!K12+Datos!AA12)),IF(J_V="SI",Datos!K12,Datos!K12+Datos!AA12)," - ")</f>
        <v>49</v>
      </c>
      <c r="H12" s="404" t="str">
        <f>IF(ISNUMBER(G12/B12),G12/B12," - ")</f>
        <v xml:space="preserve"> - </v>
      </c>
      <c r="I12" s="403">
        <f>IF(ISNUMBER(IF(J_V="SI",Datos!L12,Datos!L12+Datos!AB12)),IF(J_V="SI",Datos!L12,Datos!L12+Datos!AB12)," - ")</f>
        <v>150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3758</v>
      </c>
      <c r="D13" s="850" t="str">
        <f>IF(ISNUMBER(C13/Datos!BI13),C13/Datos!BI13," - ")</f>
        <v xml:space="preserve"> - </v>
      </c>
      <c r="E13" s="849">
        <f>SUBTOTAL(9,E8:E12)</f>
        <v>1722</v>
      </c>
      <c r="F13" s="850">
        <f>IF(ISNUMBER(E13/B13),E13/B13," - ")</f>
        <v>287</v>
      </c>
      <c r="G13" s="849">
        <f>SUBTOTAL(9,G8:G12)</f>
        <v>1554</v>
      </c>
      <c r="H13" s="850">
        <f>IF(ISNUMBER(G13/B13),G13/B13," - ")</f>
        <v>259</v>
      </c>
      <c r="I13" s="849">
        <f>SUBTOTAL(9,I8:I12)</f>
        <v>3926</v>
      </c>
      <c r="J13" s="850">
        <f>IF(ISNUMBER(I13/B13),I13/B13," - ")</f>
        <v>654.33333333333337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1709</v>
      </c>
      <c r="D15" s="404">
        <f>IF(ISNUMBER(C15/Datos!BH15),C15/Datos!BH15," - ")</f>
        <v>569.66666666666663</v>
      </c>
      <c r="E15" s="403">
        <f>IF(ISNUMBER(IF(D_I="SI",Datos!J15,Datos!J15+Datos!AD15)),IF(D_I="SI",Datos!J15,Datos!J15+Datos!AD15)," - ")</f>
        <v>1190</v>
      </c>
      <c r="F15" s="404">
        <f>IF(ISNUMBER(E15/B15),E15/B15," - ")</f>
        <v>396.66666666666669</v>
      </c>
      <c r="G15" s="403">
        <f>IF(ISNUMBER(IF(D_I="SI",Datos!K15,Datos!K15+Datos!AE15)),IF(D_I="SI",Datos!K15,Datos!K15+Datos!AE15)," - ")</f>
        <v>1113</v>
      </c>
      <c r="H15" s="404">
        <f>IF(ISNUMBER(G15/B15),G15/B15," - ")</f>
        <v>371</v>
      </c>
      <c r="I15" s="403">
        <f>IF(ISNUMBER(IF(D_I="SI",Datos!L15,Datos!L15+Datos!AF15)),IF(D_I="SI",Datos!L15,Datos!L15+Datos!AF15)," - ")</f>
        <v>1752</v>
      </c>
      <c r="J15" s="404">
        <f>IF(ISNUMBER(I15/B15),I15/B15," - ")</f>
        <v>584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139</v>
      </c>
      <c r="D16" s="404" t="str">
        <f>IF(ISNUMBER(C16/Datos!BH16),C16/Datos!BH16," - ")</f>
        <v xml:space="preserve"> - </v>
      </c>
      <c r="E16" s="403">
        <f>IF(ISNUMBER(IF(D_I="SI",Datos!J16,Datos!J16+Datos!AD16)),IF(D_I="SI",Datos!J16,Datos!J16+Datos!AD16)," - ")</f>
        <v>21</v>
      </c>
      <c r="F16" s="404" t="str">
        <f>IF(ISNUMBER(E16/B16),E16/B16," - ")</f>
        <v xml:space="preserve"> - </v>
      </c>
      <c r="G16" s="403">
        <f>IF(ISNUMBER(IF(D_I="SI",Datos!K16,Datos!K16+Datos!AE16)),IF(D_I="SI",Datos!K16,Datos!K16+Datos!AE16)," - ")</f>
        <v>58</v>
      </c>
      <c r="H16" s="404" t="str">
        <f>IF(ISNUMBER(G16/B16),G16/B16," - ")</f>
        <v xml:space="preserve"> - </v>
      </c>
      <c r="I16" s="403">
        <f>IF(ISNUMBER(IF(D_I="SI",Datos!L16,Datos!L16+Datos!AF16)),IF(D_I="SI",Datos!L16,Datos!L16+Datos!AF16)," - ")</f>
        <v>106</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144</v>
      </c>
      <c r="D17" s="404">
        <f>IF(ISNUMBER(C17/Datos!BH17),C17/Datos!BH17," - ")</f>
        <v>72</v>
      </c>
      <c r="E17" s="403">
        <f>IF(ISNUMBER(IF(D_I="SI",Datos!J17,Datos!J17+Datos!AD17)),IF(D_I="SI",Datos!J17,Datos!J17+Datos!AD17)," - ")</f>
        <v>425</v>
      </c>
      <c r="F17" s="404">
        <f>IF(ISNUMBER(E17/B17),E17/B17," - ")</f>
        <v>212.5</v>
      </c>
      <c r="G17" s="403">
        <f>IF(ISNUMBER(IF(D_I="SI",Datos!K17,Datos!K17+Datos!AE17)),IF(D_I="SI",Datos!K17,Datos!K17+Datos!AE17)," - ")</f>
        <v>408</v>
      </c>
      <c r="H17" s="404">
        <f>IF(ISNUMBER(G17/B17),G17/B17," - ")</f>
        <v>204</v>
      </c>
      <c r="I17" s="403">
        <f>IF(ISNUMBER(IF(D_I="SI",Datos!L17,Datos!L17+Datos!AF17)),IF(D_I="SI",Datos!L17,Datos!L17+Datos!AF17)," - ")</f>
        <v>161</v>
      </c>
      <c r="J17" s="404">
        <f>IF(ISNUMBER(I17/B17),I17/B17," - ")</f>
        <v>80.5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1992</v>
      </c>
      <c r="D18" s="850" t="str">
        <f>IF(ISNUMBER(C18/Datos!BI18),C18/Datos!BI18," - ")</f>
        <v xml:space="preserve"> - </v>
      </c>
      <c r="E18" s="849">
        <f>SUBTOTAL(9,E14:E17)</f>
        <v>1636</v>
      </c>
      <c r="F18" s="850">
        <f>IF(ISNUMBER(E18/B18),E18/B18," - ")</f>
        <v>409</v>
      </c>
      <c r="G18" s="849">
        <f>SUBTOTAL(9,G14:G17)</f>
        <v>1579</v>
      </c>
      <c r="H18" s="850">
        <f>IF(ISNUMBER(G18/B18),G18/B18," - ")</f>
        <v>394.75</v>
      </c>
      <c r="I18" s="849">
        <f>SUBTOTAL(9,I14:I17)</f>
        <v>2019</v>
      </c>
      <c r="J18" s="850">
        <f>IF(ISNUMBER(I18/B18),I18/B18," - ")</f>
        <v>504.75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5750</v>
      </c>
      <c r="D19" s="795" t="str">
        <f>IF(ISNUMBER(C19/Datos!BI19),C19/Datos!BI19," - ")</f>
        <v xml:space="preserve"> - </v>
      </c>
      <c r="E19" s="794">
        <f>SUBTOTAL(9,E9:E18)</f>
        <v>3358</v>
      </c>
      <c r="F19" s="795">
        <f>IF(ISNUMBER(E19/B19),E19/B19," - ")</f>
        <v>373.11111111111109</v>
      </c>
      <c r="G19" s="794">
        <f>SUBTOTAL(9,G9:G18)</f>
        <v>3133</v>
      </c>
      <c r="H19" s="795">
        <f>IF(ISNUMBER(G19/B19),G19/B19," - ")</f>
        <v>348.11111111111109</v>
      </c>
      <c r="I19" s="794">
        <f>SUBTOTAL(9,I9:I18)</f>
        <v>5945</v>
      </c>
      <c r="J19" s="795">
        <f>IF(ISNUMBER(I19/B19),I19/B19," - ")</f>
        <v>660.55555555555554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eC+nFzuDdkc6ao5JHQVVX0f1UI1/BEHcWVTwjPY0mdUSefjAiUNp0CBiUOyig3nH62eg7exBj2/d3J2WbRPeA==" saltValue="1gVfodA6GOirxIyesSQ5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CACERES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ZB+RH2eRGCfRdPAsd0rXnATnRC2lku7z+2twqsSUDV/BOijdwifZAL5zA/EyQse4SQCX6L6izBKICdbhrpFZCA==" saltValue="nYjbYt0tpDzQMGOSNsZa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CACERES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634</v>
      </c>
      <c r="E9" s="404">
        <f t="shared" ref="E9:E13" si="0">IF(ISNUMBER(D9/B9),D9/B9," - ")</f>
        <v>126.8</v>
      </c>
      <c r="F9" s="403">
        <f>IF(ISNUMBER(Datos!N9),Datos!N9," - ")</f>
        <v>435</v>
      </c>
      <c r="G9" s="404">
        <f t="shared" ref="G9:G13" si="1">IF(ISNUMBER(F9/B9),F9/B9," - ")</f>
        <v>87</v>
      </c>
      <c r="H9" s="403">
        <f>IF(ISNUMBER(Datos!O9),Datos!O9," - ")</f>
        <v>650</v>
      </c>
      <c r="I9" s="404">
        <f>IF(ISNUMBER(H9/B9),H9/B9," - ")</f>
        <v>130</v>
      </c>
      <c r="BZ9" s="1186">
        <f>Datos!EZ9</f>
        <v>0</v>
      </c>
    </row>
    <row r="10" spans="1:78">
      <c r="A10" s="402" t="str">
        <f>Datos!A10</f>
        <v>Jdos. Violencia contra la mujer</v>
      </c>
      <c r="B10" s="427">
        <f>Datos!AO10</f>
        <v>2</v>
      </c>
      <c r="C10" s="410">
        <f>Datos!AQ10</f>
        <v>1</v>
      </c>
      <c r="D10" s="403">
        <f>IF(ISNUMBER(Datos!M10),Datos!M10," - ")</f>
        <v>11</v>
      </c>
      <c r="E10" s="404">
        <f>IF(ISNUMBER(D10/B10),D10/B10," - ")</f>
        <v>5.5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22</v>
      </c>
      <c r="E12" s="404" t="str">
        <f t="shared" si="0"/>
        <v xml:space="preserve"> - </v>
      </c>
      <c r="F12" s="403">
        <f>IF(ISNUMBER(Datos!N12),Datos!N12," - ")</f>
        <v>10</v>
      </c>
      <c r="G12" s="404" t="str">
        <f t="shared" si="1"/>
        <v xml:space="preserve"> - </v>
      </c>
      <c r="H12" s="403">
        <f>IF(ISNUMBER(Datos!O12),Datos!O12," - ")</f>
        <v>35</v>
      </c>
      <c r="I12" s="404" t="str">
        <f t="shared" si="2"/>
        <v xml:space="preserve"> - </v>
      </c>
      <c r="BZ12" s="1186">
        <f>Datos!EZ12</f>
        <v>0</v>
      </c>
    </row>
    <row r="13" spans="1:78" ht="14.25" thickTop="1" thickBot="1">
      <c r="A13" s="848" t="str">
        <f>Datos!A13</f>
        <v>TOTAL</v>
      </c>
      <c r="B13" s="849">
        <f>Datos!AP13</f>
        <v>6</v>
      </c>
      <c r="C13" s="851">
        <f>Datos!AR13</f>
        <v>6</v>
      </c>
      <c r="D13" s="849">
        <f>SUBTOTAL(9,D9:D12)</f>
        <v>667</v>
      </c>
      <c r="E13" s="850">
        <f t="shared" si="0"/>
        <v>111.16666666666667</v>
      </c>
      <c r="F13" s="849">
        <f>SUBTOTAL(9,F9:F12)</f>
        <v>445</v>
      </c>
      <c r="G13" s="850">
        <f t="shared" si="1"/>
        <v>74.166666666666671</v>
      </c>
      <c r="H13" s="849">
        <f>SUBTOTAL(9,H9:H12)</f>
        <v>685</v>
      </c>
      <c r="I13" s="850">
        <f>IF(ISNUMBER(H13/B13),H13/B13," - ")</f>
        <v>114.16666666666667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149</v>
      </c>
      <c r="E15" s="404">
        <f t="shared" ref="E15:E18" si="3">IF(ISNUMBER(D15/B15),D15/B15," - ")</f>
        <v>49.666666666666664</v>
      </c>
      <c r="F15" s="403">
        <f>IF(ISNUMBER(Datos!N15),Datos!N15," - ")</f>
        <v>664</v>
      </c>
      <c r="G15" s="404">
        <f t="shared" ref="G15:G18" si="4">IF(ISNUMBER(F15/B15),F15/B15," - ")</f>
        <v>221.33333333333334</v>
      </c>
      <c r="H15" s="403">
        <f>IF(ISNUMBER(Datos!O15),Datos!O15," - ")</f>
        <v>25</v>
      </c>
      <c r="I15" s="404">
        <f t="shared" ref="I15:I17" si="5">IF(ISNUMBER(H15/B15),H15/B15," - ")</f>
        <v>8.3333333333333339</v>
      </c>
      <c r="BZ15" s="1186">
        <f>Datos!EZ15</f>
        <v>0</v>
      </c>
    </row>
    <row r="16" spans="1:78">
      <c r="A16" s="402" t="str">
        <f>Datos!A16</f>
        <v xml:space="preserve">Jdos. 1ª Instª. e Instr.                        </v>
      </c>
      <c r="B16" s="427">
        <f>Datos!AO16</f>
        <v>0</v>
      </c>
      <c r="C16" s="428">
        <f>Datos!AQ16</f>
        <v>0</v>
      </c>
      <c r="D16" s="403">
        <f>IF(ISNUMBER(Datos!M16),Datos!M16," - ")</f>
        <v>6</v>
      </c>
      <c r="E16" s="404" t="str">
        <f t="shared" si="3"/>
        <v xml:space="preserve"> - </v>
      </c>
      <c r="F16" s="403">
        <f>IF(ISNUMBER(Datos!N16),Datos!N16," - ")</f>
        <v>18</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74</v>
      </c>
      <c r="E17" s="404">
        <f>IF(ISNUMBER(D17/B17),D17/B17," - ")</f>
        <v>37</v>
      </c>
      <c r="F17" s="403">
        <f>IF(ISNUMBER(Datos!N17),Datos!N17," - ")</f>
        <v>140</v>
      </c>
      <c r="G17" s="404">
        <f>IF(ISNUMBER(F17/B17),F17/B17," - ")</f>
        <v>70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229</v>
      </c>
      <c r="E18" s="850">
        <f t="shared" si="3"/>
        <v>57.25</v>
      </c>
      <c r="F18" s="849">
        <f>SUBTOTAL(9,F15:F17)</f>
        <v>822</v>
      </c>
      <c r="G18" s="850">
        <f t="shared" si="4"/>
        <v>205.5</v>
      </c>
      <c r="H18" s="849">
        <f>SUBTOTAL(9,H15:H17)</f>
        <v>25</v>
      </c>
      <c r="I18" s="850">
        <f>IF(ISNUMBER(H18/B18),H18/B18," - ")</f>
        <v>6.25</v>
      </c>
      <c r="BZ18" s="1186"/>
    </row>
    <row r="19" spans="1:78" ht="14.25" thickTop="1" thickBot="1">
      <c r="A19" s="793" t="str">
        <f>Datos!A19</f>
        <v>TOTAL JURISDICCIONES</v>
      </c>
      <c r="B19" s="794">
        <f>Datos!AP19</f>
        <v>9</v>
      </c>
      <c r="C19" s="794">
        <f>Datos!AR19</f>
        <v>9</v>
      </c>
      <c r="D19" s="794">
        <f>SUBTOTAL(9,D8:D18)</f>
        <v>896</v>
      </c>
      <c r="E19" s="795">
        <f>IF(ISNUMBER(D19/B19),D19/B19," - ")</f>
        <v>99.555555555555557</v>
      </c>
      <c r="F19" s="794">
        <f>SUBTOTAL(9,F8:F18)</f>
        <v>1267</v>
      </c>
      <c r="G19" s="795">
        <f>IF(ISNUMBER(F19/B19),F19/B19," - ")</f>
        <v>140.77777777777777</v>
      </c>
      <c r="H19" s="794">
        <f>SUBTOTAL(9,H8:H18)</f>
        <v>710</v>
      </c>
      <c r="I19" s="795">
        <f>IF(ISNUMBER(H19/B19),H19/B19," - ")</f>
        <v>78.888888888888886</v>
      </c>
    </row>
    <row r="22" spans="1:78">
      <c r="A22" s="391" t="str">
        <f>Criterios!A4</f>
        <v>Fecha Informe: 29 nov. 2024</v>
      </c>
    </row>
    <row r="27" spans="1:78">
      <c r="A27" s="414"/>
    </row>
  </sheetData>
  <sheetProtection algorithmName="SHA-512" hashValue="kFOAhrFFyxjwTNS6rTgdkcELFySTgoWJ2YRbdSSIGU0ke2deU34OZQz21dPGY3+iusIaMYAYqhR4NfxsxjQ/ww==" saltValue="kul9J/fq6cwMJtAnl56V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CACERES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405</v>
      </c>
      <c r="C9" s="434">
        <f>IF(ISNUMBER(Datos!Q9),Datos!Q9," - ")</f>
        <v>302</v>
      </c>
      <c r="D9" s="408">
        <f>IF(ISNUMBER(Datos!R9),Datos!R9," - ")</f>
        <v>4243</v>
      </c>
    </row>
    <row r="10" spans="1:4">
      <c r="A10" s="402" t="str">
        <f>Datos!A10</f>
        <v>Jdos. Violencia contra la mujer</v>
      </c>
      <c r="B10" s="433">
        <f>IF(ISNUMBER(Datos!P10),Datos!P10," - ")</f>
        <v>0</v>
      </c>
      <c r="C10" s="434">
        <f>IF(ISNUMBER(Datos!Q10),Datos!Q10," - ")</f>
        <v>1</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v>
      </c>
      <c r="C12" s="434">
        <f>IF(ISNUMBER(Datos!Q12),Datos!Q12," - ")</f>
        <v>187</v>
      </c>
      <c r="D12" s="408">
        <f>IF(ISNUMBER(Datos!R12),Datos!R12," - ")</f>
        <v>2264</v>
      </c>
    </row>
    <row r="13" spans="1:4" ht="14.25" thickTop="1" thickBot="1">
      <c r="A13" s="848" t="str">
        <f>Datos!A13</f>
        <v>TOTAL</v>
      </c>
      <c r="B13" s="849">
        <f>SUBTOTAL(9,B9:B12)</f>
        <v>406</v>
      </c>
      <c r="C13" s="853">
        <f>SUBTOTAL(9,C9:C12)</f>
        <v>490</v>
      </c>
      <c r="D13" s="851">
        <f>SUBTOTAL(9,D9:D12)</f>
        <v>6519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68</v>
      </c>
      <c r="C15" s="434">
        <f>IF(ISNUMBER(Datos!Q15),Datos!Q15," - ")</f>
        <v>39</v>
      </c>
      <c r="D15" s="408">
        <f>IF(ISNUMBER(Datos!R15),Datos!R15," - ")</f>
        <v>250</v>
      </c>
    </row>
    <row r="16" spans="1:4">
      <c r="A16" s="402" t="str">
        <f>Datos!A16</f>
        <v xml:space="preserve">Jdos. 1ª Instª. e Instr.                        </v>
      </c>
      <c r="B16" s="433">
        <f>IF(ISNUMBER(Datos!P16),Datos!P16," - ")</f>
        <v>4</v>
      </c>
      <c r="C16" s="434">
        <f>IF(ISNUMBER(Datos!Q16),Datos!Q16," - ")</f>
        <v>6</v>
      </c>
      <c r="D16" s="408">
        <f>IF(ISNUMBER(Datos!R16),Datos!R16," - ")</f>
        <v>40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72</v>
      </c>
      <c r="C18" s="853">
        <f>SUBTOTAL(9,C15:C17)</f>
        <v>45</v>
      </c>
      <c r="D18" s="851">
        <f>SUBTOTAL(9,D15:D17)</f>
        <v>290</v>
      </c>
    </row>
    <row r="19" spans="1:4" ht="16.5" customHeight="1" thickTop="1" thickBot="1">
      <c r="A19" s="793" t="str">
        <f>Datos!A19</f>
        <v>TOTAL JURISDICCIONES</v>
      </c>
      <c r="B19" s="798">
        <f>SUBTOTAL(9,B8:B18)</f>
        <v>478</v>
      </c>
      <c r="C19" s="799">
        <f>SUBTOTAL(9,C8:C18)</f>
        <v>535</v>
      </c>
      <c r="D19" s="800">
        <f>SUBTOTAL(9,D8:D18)</f>
        <v>6809</v>
      </c>
    </row>
    <row r="20" spans="1:4" ht="7.5" customHeight="1"/>
    <row r="21" spans="1:4" ht="6" customHeight="1"/>
    <row r="22" spans="1:4">
      <c r="A22" s="391" t="str">
        <f>Criterios!A4</f>
        <v>Fecha Informe: 29 nov. 2024</v>
      </c>
    </row>
    <row r="27" spans="1:4">
      <c r="A27" s="414"/>
    </row>
  </sheetData>
  <sheetProtection algorithmName="SHA-512" hashValue="Momm+u/QmOppi1wKLo65fJjhLuIz2+lrvNMH/tXYtZr0ZvOau4g2DvKknu+S3vqTG7oVF3zWKck+b0LgqVKpOw==" saltValue="7VN8Eg/hR4sUKeDJ57bv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CACERES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0.12845257903494176</v>
      </c>
      <c r="C9" s="456">
        <f>IF(ISNUMBER(
   IF(J_V="SI",(Datos!J9-Datos!T9)/Datos!T9,(Datos!J9+Datos!Z9-(Datos!T9+Datos!AH9))/(Datos!T9+Datos!AH9))
     ),IF(J_V="SI",(Datos!J9-Datos!T9)/Datos!T9,(Datos!J9+Datos!Z9-(Datos!T9+Datos!AH9))/(Datos!T9+Datos!AH9))," - ")</f>
        <v>0.13364993215739485</v>
      </c>
      <c r="D9" s="456">
        <f>IF(ISNUMBER(
   IF(J_V="SI",(Datos!K9-Datos!U9)/Datos!U9,(Datos!K9+Datos!AA9-(Datos!U9+Datos!AI9))/(Datos!U9+Datos!AI9))
     ),IF(J_V="SI",(Datos!K9-Datos!U9)/Datos!U9,(Datos!K9+Datos!AA9-(Datos!U9+Datos!AI9))/(Datos!U9+Datos!AI9))," - ")</f>
        <v>3.8220986796386379E-2</v>
      </c>
      <c r="E9" s="456">
        <f>IF(ISNUMBER(
   IF(J_V="SI",(Datos!L9-Datos!V9)/Datos!V9,(Datos!L9+Datos!AB9-(Datos!V9+Datos!AJ9))/(Datos!V9+Datos!AJ9))
     ),IF(J_V="SI",(Datos!L9-Datos!V9)/Datos!V9,(Datos!L9+Datos!AB9-(Datos!V9+Datos!AJ9))/(Datos!V9+Datos!AJ9))," - ")</f>
        <v>0.1736842105263158</v>
      </c>
      <c r="F9" s="456">
        <f>IF(ISNUMBER((Datos!M9-Datos!W9)/Datos!W9),(Datos!M9-Datos!W9)/Datos!W9," - ")</f>
        <v>0.86470588235294121</v>
      </c>
      <c r="G9" s="457">
        <f>IF(ISNUMBER((Datos!N9-Datos!X9)/Datos!X9),(Datos!N9-Datos!X9)/Datos!X9," - ")</f>
        <v>-0.11585365853658537</v>
      </c>
      <c r="H9" s="455">
        <f>IF(ISNUMBER(((NºAsuntos!G9/NºAsuntos!E9)-Datos!BD9)/Datos!BD9),((NºAsuntos!G9/NºAsuntos!E9)-Datos!BD9)/Datos!BD9," - ")</f>
        <v>-8.4178495189782473E-2</v>
      </c>
      <c r="I9" s="456">
        <f>IF(ISNUMBER(((NºAsuntos!I9/NºAsuntos!G9)-Datos!BE9)/Datos!BE9),((NºAsuntos!I9/NºAsuntos!G9)-Datos!BE9)/Datos!BE9," - ")</f>
        <v>0.13047629112942999</v>
      </c>
      <c r="J9" s="461">
        <f>IF(ISNUMBER((('Resol  Asuntos'!D9/NºAsuntos!G9)-Datos!BF9)/Datos!BF9),(('Resol  Asuntos'!D9/NºAsuntos!G9)-Datos!BF9)/Datos!BF9," - ")</f>
        <v>0.24117880737040312</v>
      </c>
      <c r="K9" s="462">
        <f>IF(ISNUMBER((((NºAsuntos!C9+NºAsuntos!E9)/NºAsuntos!G9)-Datos!BG9)/Datos!BG9),(((NºAsuntos!C9+NºAsuntos!E9)/NºAsuntos!G9)-Datos!BG9)/Datos!BG9," - ")</f>
        <v>8.8557250509816277E-2</v>
      </c>
    </row>
    <row r="10" spans="1:11">
      <c r="A10" s="402" t="str">
        <f>Datos!A10</f>
        <v>Jdos. Violencia contra la mujer</v>
      </c>
      <c r="B10" s="455">
        <f>IF(ISNUMBER((Datos!I10-Datos!S10)/Datos!S10),(Datos!I10-Datos!S10)/Datos!S10," - ")</f>
        <v>1.1375</v>
      </c>
      <c r="C10" s="456">
        <f>IF(ISNUMBER((Datos!J10-Datos!T10)/Datos!T10),(Datos!J10-Datos!T10)/Datos!T10," - ")</f>
        <v>0.17073170731707318</v>
      </c>
      <c r="D10" s="456">
        <f>IF(ISNUMBER((Datos!K10-Datos!U10)/Datos!U10),(Datos!K10-Datos!U10)/Datos!U10," - ")</f>
        <v>-0.26666666666666666</v>
      </c>
      <c r="E10" s="456">
        <f>IF(ISNUMBER((Datos!L10-Datos!V10)/Datos!V10),(Datos!L10-Datos!V10)/Datos!V10," - ")</f>
        <v>0.96226415094339623</v>
      </c>
      <c r="F10" s="456">
        <f>IF(ISNUMBER((Datos!M10-Datos!W10)/Datos!W10),(Datos!M10-Datos!W10)/Datos!W10," - ")</f>
        <v>1.2</v>
      </c>
      <c r="G10" s="457" t="str">
        <f>IF(ISNUMBER((Datos!N10-Datos!X10)/Datos!X10),(Datos!N10-Datos!X10)/Datos!X10," - ")</f>
        <v xml:space="preserve"> - </v>
      </c>
      <c r="H10" s="455">
        <f>IF(ISNUMBER(((NºAsuntos!G10/NºAsuntos!E10)-Datos!BD10)/Datos!BD10),((NºAsuntos!G10/NºAsuntos!E10)-Datos!BD10)/Datos!BD10," - ")</f>
        <v>-0.37361111111111112</v>
      </c>
      <c r="I10" s="456">
        <f>IF(ISNUMBER(((NºAsuntos!I10/NºAsuntos!G10)-Datos!BE10)/Datos!BE10),((NºAsuntos!I10/NºAsuntos!G10)-Datos!BE10)/Datos!BE10," - ")</f>
        <v>1.6758147512864496</v>
      </c>
      <c r="J10" s="461">
        <f>IF(ISNUMBER((('Resol  Asuntos'!D10/NºAsuntos!G10)-Datos!BF10)/Datos!BF10),(('Resol  Asuntos'!D10/NºAsuntos!G10)-Datos!BF10)/Datos!BF10," - ")</f>
        <v>2.0000000000000004</v>
      </c>
      <c r="K10" s="462">
        <f>IF(ISNUMBER((((NºAsuntos!C10+NºAsuntos!E10)/NºAsuntos!G10)-Datos!BG10)/Datos!BG10),(((NºAsuntos!C10+NºAsuntos!E10)/NºAsuntos!G10)-Datos!BG10)/Datos!BG10," - ")</f>
        <v>1.4680691209616832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-0.72701949860724235</v>
      </c>
      <c r="C12" s="456">
        <f>IF(ISNUMBER(
   IF(J_V="SI",(Datos!J12-Datos!T12)/Datos!T12,(Datos!J12+Datos!Z12-(Datos!T12+Datos!AH12))/(Datos!T12+Datos!AH12))
     ),IF(J_V="SI",(Datos!J12-Datos!T12)/Datos!T12,(Datos!J12+Datos!Z12-(Datos!T12+Datos!AH12))/(Datos!T12+Datos!AH12))," - ")</f>
        <v>-0.94230769230769229</v>
      </c>
      <c r="D12" s="456">
        <f>IF(ISNUMBER(
   IF(J_V="SI",(Datos!K12-Datos!U12)/Datos!U12,(Datos!K12+Datos!AA12-(Datos!U12+Datos!AI12))/(Datos!U12+Datos!AI12))
     ),IF(J_V="SI",(Datos!K12-Datos!U12)/Datos!U12,(Datos!K12+Datos!AA12-(Datos!U12+Datos!AI12))/(Datos!U12+Datos!AI12))," - ")</f>
        <v>-0.67333333333333334</v>
      </c>
      <c r="E12" s="456">
        <f>IF(ISNUMBER(
   IF(J_V="SI",(Datos!L12-Datos!V12)/Datos!V12,(Datos!L12+Datos!AB12-(Datos!V12+Datos!AJ12))/(Datos!V12+Datos!AJ12))
     ),IF(J_V="SI",(Datos!L12-Datos!V12)/Datos!V12,(Datos!L12+Datos!AB12-(Datos!V12+Datos!AJ12))/(Datos!V12+Datos!AJ12))," - ")</f>
        <v>-0.73118279569892475</v>
      </c>
      <c r="F12" s="456">
        <f>IF(ISNUMBER((Datos!M12-Datos!W12)/Datos!W12),(Datos!M12-Datos!W12)/Datos!W12," - ")</f>
        <v>-0.57692307692307687</v>
      </c>
      <c r="G12" s="457">
        <f>IF(ISNUMBER((Datos!N12-Datos!X12)/Datos!X12),(Datos!N12-Datos!X12)/Datos!X12," - ")</f>
        <v>-0.70588235294117652</v>
      </c>
      <c r="H12" s="455">
        <f>IF(ISNUMBER(((NºAsuntos!G12/NºAsuntos!E12)-Datos!BD12)/Datos!BD12),((NºAsuntos!G12/NºAsuntos!E12)-Datos!BD12)/Datos!BD12," - ")</f>
        <v>4.6622222222222218</v>
      </c>
      <c r="I12" s="456">
        <f>IF(ISNUMBER(((NºAsuntos!I12/NºAsuntos!G12)-Datos!BE12)/Datos!BE12),((NºAsuntos!I12/NºAsuntos!G12)-Datos!BE12)/Datos!BE12," - ")</f>
        <v>-0.1770901909150758</v>
      </c>
      <c r="J12" s="461">
        <f>IF(ISNUMBER((('Resol  Asuntos'!D12/NºAsuntos!G12)-Datos!BF12)/Datos!BF12),(('Resol  Asuntos'!D12/NºAsuntos!G12)-Datos!BF12)/Datos!BF12," - ")</f>
        <v>0.98079231692677082</v>
      </c>
      <c r="K12" s="462">
        <f>IF(ISNUMBER((((NºAsuntos!C12+NºAsuntos!E12)/NºAsuntos!G12)-Datos!BG12)/Datos!BG12),(((NºAsuntos!C12+NºAsuntos!E12)/NºAsuntos!G12)-Datos!BG12)/Datos!BG12," - ")</f>
        <v>-0.20885237211767824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-1.1832763607678149E-2</v>
      </c>
      <c r="C13" s="855">
        <f>IF(ISNUMBER(
   IF(J_V="SI",(Datos!J13-Datos!T13)/Datos!T13,(Datos!J13+Datos!Z13-(Datos!T13+Datos!AH13))/(Datos!T13+Datos!AH13))
     ),IF(J_V="SI",(Datos!J13-Datos!T13)/Datos!T13,(Datos!J13+Datos!Z13-(Datos!T13+Datos!AH13))/(Datos!T13+Datos!AH13))," - ")</f>
        <v>9.8915124441608174E-2</v>
      </c>
      <c r="D13" s="855">
        <f>IF(ISNUMBER(
   IF(J_V="SI",(Datos!K13-Datos!U13)/Datos!U13,(Datos!K13+Datos!AA13-(Datos!U13+Datos!AI13))/(Datos!U13+Datos!AI13))
     ),IF(J_V="SI",(Datos!K13-Datos!U13)/Datos!U13,(Datos!K13+Datos!AA13-(Datos!U13+Datos!AI13))/(Datos!U13+Datos!AI13))," - ")</f>
        <v>-3.117206982543641E-2</v>
      </c>
      <c r="E13" s="855">
        <f>IF(ISNUMBER(
   IF(J_V="SI",(Datos!L13-Datos!V13)/Datos!V13,(Datos!L13+Datos!AB13-(Datos!V13+Datos!AJ13))/(Datos!V13+Datos!AJ13))
     ),IF(J_V="SI",(Datos!L13-Datos!V13)/Datos!V13,(Datos!L13+Datos!AB13-(Datos!V13+Datos!AJ13))/(Datos!V13+Datos!AJ13))," - ")</f>
        <v>5.9935205183585312E-2</v>
      </c>
      <c r="F13" s="856">
        <f>IF(ISNUMBER((Datos!M13-Datos!W13)/Datos!W13),(Datos!M13-Datos!W13)/Datos!W13," - ")</f>
        <v>0.68010075566750627</v>
      </c>
      <c r="G13" s="857">
        <f>IF(ISNUMBER((Datos!N13-Datos!X13)/Datos!X13),(Datos!N13-Datos!X13)/Datos!X13," - ")</f>
        <v>-0.15399239543726237</v>
      </c>
      <c r="H13" s="857">
        <f>IF(ISNUMBER(((NºAsuntos!G13/NºAsuntos!E13)-Datos!BD13)/Datos!BD13),((NºAsuntos!G13/NºAsuntos!E13)-Datos!BD13)/Datos!BD13," - ")</f>
        <v>-0.11837783589805972</v>
      </c>
      <c r="I13" s="857">
        <f>IF(ISNUMBER(((NºAsuntos!I13/NºAsuntos!G13)-Datos!BE13)/Datos!BE13),((NºAsuntos!I13/NºAsuntos!G13)-Datos!BE13)/Datos!BE13," - ")</f>
        <v>9.4038654513816669E-2</v>
      </c>
      <c r="J13" s="857">
        <f>IF(ISNUMBER((('Resol  Asuntos'!D13/NºAsuntos!G13)-Datos!BF13)/Datos!BF13),(('Resol  Asuntos'!D13/NºAsuntos!G13)-Datos!BF13)/Datos!BF13," - ")</f>
        <v>0.296536245688788</v>
      </c>
      <c r="K13" s="857">
        <f>IF(ISNUMBER((((NºAsuntos!C13+NºAsuntos!E13)/NºAsuntos!G13)-Datos!BG13)/Datos!BG13),(((NºAsuntos!C13+NºAsuntos!E13)/NºAsuntos!G13)-Datos!BG13)/Datos!BG13," - ")</f>
        <v>5.3318282368561745E-2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0.31058282208588955</v>
      </c>
      <c r="C15" s="456">
        <f>IF(ISNUMBER(
   IF(D_I="SI",(Datos!J15-Datos!T15)/Datos!T15,(Datos!J15+Datos!AD15-(Datos!T15+Datos!AL15))/(Datos!T15+Datos!AL15))
     ),IF(D_I="SI",(Datos!J15-Datos!T15)/Datos!T15,(Datos!J15+Datos!AD15-(Datos!T15+Datos!AL15))/(Datos!T15+Datos!AL15))," - ")</f>
        <v>5.0675675675675678E-3</v>
      </c>
      <c r="D15" s="456">
        <f>IF(ISNUMBER(
   IF(D_I="SI",(Datos!K15-Datos!U15)/Datos!U15,(Datos!K15+Datos!AE15-(Datos!U15+Datos!AM15))/(Datos!U15+Datos!AM15))
     ),IF(D_I="SI",(Datos!K15-Datos!U15)/Datos!U15,(Datos!K15+Datos!AE15-(Datos!U15+Datos!AM15))/(Datos!U15+Datos!AM15))," - ")</f>
        <v>0.36063569682151592</v>
      </c>
      <c r="E15" s="456">
        <f>IF(ISNUMBER(
   IF(D_I="SI",(Datos!L15-Datos!V15)/Datos!V15,(Datos!L15+Datos!AF15-(Datos!V15+Datos!AN15))/(Datos!V15+Datos!AN15))
     ),IF(D_I="SI",(Datos!L15-Datos!V15)/Datos!V15,(Datos!L15+Datos!AF15-(Datos!V15+Datos!AN15))/(Datos!V15+Datos!AN15))," - ")</f>
        <v>0.16489361702127658</v>
      </c>
      <c r="F15" s="456">
        <f>IF(ISNUMBER((Datos!M15-Datos!W15)/Datos!W15),(Datos!M15-Datos!W15)/Datos!W15," - ")</f>
        <v>0.25210084033613445</v>
      </c>
      <c r="G15" s="457">
        <f>IF(ISNUMBER((Datos!N15-Datos!X15)/Datos!X15),(Datos!N15-Datos!X15)/Datos!X15," - ")</f>
        <v>0.44347826086956521</v>
      </c>
      <c r="H15" s="455">
        <f>IF(ISNUMBER(((NºAsuntos!G15/NºAsuntos!E15)-Datos!BD15)/Datos!BD15),((NºAsuntos!G15/NºAsuntos!E15)-Datos!BD15)/Datos!BD15," - ")</f>
        <v>0.35377534877031497</v>
      </c>
      <c r="I15" s="456">
        <f>IF(ISNUMBER(((NºAsuntos!I15/NºAsuntos!G15)-Datos!BE15)/Datos!BE15),((NºAsuntos!I15/NºAsuntos!G15)-Datos!BE15)/Datos!BE15," - ")</f>
        <v>-0.14386075586396749</v>
      </c>
      <c r="J15" s="461">
        <f>IF(ISNUMBER((('Resol  Asuntos'!D15/NºAsuntos!G15)-Datos!BF15)/Datos!BF15),(('Resol  Asuntos'!D15/NºAsuntos!G15)-Datos!BF15)/Datos!BF15," - ")</f>
        <v>-7.9767756159067407E-2</v>
      </c>
      <c r="K15" s="462">
        <f>IF(ISNUMBER((((NºAsuntos!C15+NºAsuntos!E15)/NºAsuntos!G15)-Datos!BG15)/Datos!BG15),(((NºAsuntos!C15+NºAsuntos!E15)/NºAsuntos!G15)-Datos!BG15)/Datos!BG15," - ")</f>
        <v>-0.14364077852217141</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-0.75993091537132984</v>
      </c>
      <c r="C16" s="456">
        <f>IF(ISNUMBER(
   IF(D_I="SI",(Datos!J16-Datos!T16)/Datos!T16,(Datos!J16+Datos!AD16-(Datos!T16+Datos!AL16))/(Datos!T16+Datos!AL16))
     ),IF(D_I="SI",(Datos!J16-Datos!T16)/Datos!T16,(Datos!J16+Datos!AD16-(Datos!T16+Datos!AL16))/(Datos!T16+Datos!AL16))," - ")</f>
        <v>-0.65</v>
      </c>
      <c r="D16" s="456">
        <f>IF(ISNUMBER(
   IF(D_I="SI",(Datos!K16-Datos!U16)/Datos!U16,(Datos!K16+Datos!AE16-(Datos!U16+Datos!AM16))/(Datos!U16+Datos!AM16))
     ),IF(D_I="SI",(Datos!K16-Datos!U16)/Datos!U16,(Datos!K16+Datos!AE16-(Datos!U16+Datos!AM16))/(Datos!U16+Datos!AM16))," - ")</f>
        <v>-0.70408163265306123</v>
      </c>
      <c r="E16" s="456">
        <f>IF(ISNUMBER(
   IF(D_I="SI",(Datos!L16-Datos!V16)/Datos!V16,(Datos!L16+Datos!AF16-(Datos!V16+Datos!AN16))/(Datos!V16+Datos!AN16))
     ),IF(D_I="SI",(Datos!L16-Datos!V16)/Datos!V16,(Datos!L16+Datos!AF16-(Datos!V16+Datos!AN16))/(Datos!V16+Datos!AN16))," - ")</f>
        <v>-0.7623318385650224</v>
      </c>
      <c r="F16" s="456">
        <f>IF(ISNUMBER((Datos!M16-Datos!W16)/Datos!W16),(Datos!M16-Datos!W16)/Datos!W16," - ")</f>
        <v>-0.8666666666666667</v>
      </c>
      <c r="G16" s="457">
        <f>IF(ISNUMBER((Datos!N16-Datos!X16)/Datos!X16),(Datos!N16-Datos!X16)/Datos!X16," - ")</f>
        <v>-0.7567567567567568</v>
      </c>
      <c r="H16" s="455">
        <f>IF(ISNUMBER(((NºAsuntos!G16/NºAsuntos!E16)-Datos!BD16)/Datos!BD16),((NºAsuntos!G16/NºAsuntos!E16)-Datos!BD16)/Datos!BD16," - ")</f>
        <v>-0.15451895043731778</v>
      </c>
      <c r="I16" s="456">
        <f>IF(ISNUMBER(((NºAsuntos!I16/NºAsuntos!G16)-Datos!BE16)/Datos!BE16),((NºAsuntos!I16/NºAsuntos!G16)-Datos!BE16)/Datos!BE16," - ")</f>
        <v>-0.19684552342662745</v>
      </c>
      <c r="J16" s="461">
        <f>IF(ISNUMBER((('Resol  Asuntos'!D16/NºAsuntos!G16)-Datos!BF16)/Datos!BF16),(('Resol  Asuntos'!D16/NºAsuntos!G16)-Datos!BF16)/Datos!BF16," - ")</f>
        <v>-0.54942528735632179</v>
      </c>
      <c r="K16" s="462">
        <f>IF(ISNUMBER((((NºAsuntos!C16+NºAsuntos!E16)/NºAsuntos!G16)-Datos!BG16)/Datos!BG16),(((NºAsuntos!C16+NºAsuntos!E16)/NºAsuntos!G16)-Datos!BG16)/Datos!BG16," - ")</f>
        <v>-0.15385030489450102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5.8823529411764705E-2</v>
      </c>
      <c r="C17" s="456">
        <f>IF(ISNUMBER(
   IF(D_I="SI",(Datos!J17-Datos!T17)/Datos!T17,(Datos!J17+Datos!AD17-(Datos!T17+Datos!AL17))/(Datos!T17+Datos!AL17))
     ),IF(D_I="SI",(Datos!J17-Datos!T17)/Datos!T17,(Datos!J17+Datos!AD17-(Datos!T17+Datos!AL17))/(Datos!T17+Datos!AL17))," - ")</f>
        <v>-0.17315175097276264</v>
      </c>
      <c r="D17" s="456">
        <f>IF(ISNUMBER(
   IF(D_I="SI",(Datos!K17-Datos!U17)/Datos!U17,(Datos!K17+Datos!AE17-(Datos!U17+Datos!AM17))/(Datos!U17+Datos!AM17))
     ),IF(D_I="SI",(Datos!K17-Datos!U17)/Datos!U17,(Datos!K17+Datos!AE17-(Datos!U17+Datos!AM17))/(Datos!U17+Datos!AM17))," - ")</f>
        <v>-7.2727272727272724E-2</v>
      </c>
      <c r="E17" s="456">
        <f>IF(ISNUMBER(
   IF(D_I="SI",(Datos!L17-Datos!V17)/Datos!V17,(Datos!L17+Datos!AF17-(Datos!V17+Datos!AN17))/(Datos!V17+Datos!AN17))
     ),IF(D_I="SI",(Datos!L17-Datos!V17)/Datos!V17,(Datos!L17+Datos!AF17-(Datos!V17+Datos!AN17))/(Datos!V17+Datos!AN17))," - ")</f>
        <v>-0.23333333333333334</v>
      </c>
      <c r="F17" s="456">
        <f>IF(ISNUMBER((Datos!M17-Datos!W17)/Datos!W17),(Datos!M17-Datos!W17)/Datos!W17," - ")</f>
        <v>-0.14942528735632185</v>
      </c>
      <c r="G17" s="457">
        <f>IF(ISNUMBER((Datos!N17-Datos!X17)/Datos!X17),(Datos!N17-Datos!X17)/Datos!X17," - ")</f>
        <v>-0.23497267759562843</v>
      </c>
      <c r="H17" s="455">
        <f>IF(ISNUMBER(((NºAsuntos!G17/NºAsuntos!E17)-Datos!BD17)/Datos!BD17),((NºAsuntos!G17/NºAsuntos!E17)-Datos!BD17)/Datos!BD17," - ")</f>
        <v>0.12145454545454547</v>
      </c>
      <c r="I17" s="456">
        <f>IF(ISNUMBER(((NºAsuntos!I17/NºAsuntos!G17)-Datos!BE17)/Datos!BE17),((NºAsuntos!I17/NºAsuntos!G17)-Datos!BE17)/Datos!BE17," - ")</f>
        <v>-0.17320261437908502</v>
      </c>
      <c r="J17" s="461">
        <f>IF(ISNUMBER((('Resol  Asuntos'!D17/NºAsuntos!G17)-Datos!BF17)/Datos!BF17),(('Resol  Asuntos'!D17/NºAsuntos!G17)-Datos!BF17)/Datos!BF17," - ")</f>
        <v>-8.2713545188190227E-2</v>
      </c>
      <c r="K17" s="462">
        <f>IF(ISNUMBER((((NºAsuntos!C17+NºAsuntos!E17)/NºAsuntos!G17)-Datos!BG17)/Datos!BG17),(((NºAsuntos!C17+NºAsuntos!E17)/NºAsuntos!G17)-Datos!BG17)/Datos!BG17," - ")</f>
        <v>-5.5957767722473663E-2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-1.3372956909361069E-2</v>
      </c>
      <c r="C18" s="855">
        <f>IF(ISNUMBER(
   IF(Criterios!B14="SI",(Datos!J18-Datos!T18)/Datos!T18,(Datos!J18+Datos!AD18-(Datos!T18+Datos!AL18))/(Datos!T18+Datos!AL18))
     ),IF(Criterios!B14="SI",(Datos!J18-Datos!T18)/Datos!T18,(Datos!J18+Datos!AD18-(Datos!T18+Datos!AL18))/(Datos!T18+Datos!AL18))," - ")</f>
        <v>-6.9397042093287828E-2</v>
      </c>
      <c r="D18" s="855">
        <f>IF(ISNUMBER(
   IF(Criterios!B14="SI",(Datos!K18-Datos!U18)/Datos!U18,(Datos!K18+Datos!AE18-(Datos!U18+Datos!AM18))/(Datos!U18+Datos!AM18))
     ),IF(Criterios!B14="SI",(Datos!K18-Datos!U18)/Datos!U18,(Datos!K18+Datos!AE18-(Datos!U18+Datos!AM18))/(Datos!U18+Datos!AM18))," - ")</f>
        <v>8.5969738651994504E-2</v>
      </c>
      <c r="E18" s="855">
        <f>IF(ISNUMBER(
   IF(Criterios!B14="SI",(Datos!L18-Datos!V18)/Datos!V18,(Datos!L18+Datos!AF18-(Datos!V18+Datos!AN18))/(Datos!V18+Datos!AN18))
     ),IF(Criterios!B14="SI",(Datos!L18-Datos!V18)/Datos!V18,(Datos!L18+Datos!AF18-(Datos!V18+Datos!AN18))/(Datos!V18+Datos!AN18))," - ")</f>
        <v>-6.5277777777777782E-2</v>
      </c>
      <c r="F18" s="856">
        <f>IF(ISNUMBER((Datos!M18-Datos!W18)/Datos!W18),(Datos!M18-Datos!W18)/Datos!W18," - ")</f>
        <v>-8.7649402390438252E-2</v>
      </c>
      <c r="G18" s="857">
        <f>IF(ISNUMBER((Datos!N18-Datos!X18)/Datos!X18),(Datos!N18-Datos!X18)/Datos!X18," - ")</f>
        <v>0.14644351464435146</v>
      </c>
      <c r="H18" s="857">
        <f>IF(ISNUMBER(((NºAsuntos!G18/NºAsuntos!E18)-Datos!BD18)/Datos!BD18),((NºAsuntos!G18/NºAsuntos!E18)-Datos!BD18)/Datos!BD18," - ")</f>
        <v>0.16695281207225321</v>
      </c>
      <c r="I18" s="857">
        <f>IF(ISNUMBER(((NºAsuntos!I18/NºAsuntos!G18)-Datos!BE18)/Datos!BE18),((NºAsuntos!I18/NºAsuntos!G18)-Datos!BE18)/Datos!BE18," - ")</f>
        <v>-0.13927415382450212</v>
      </c>
      <c r="J18" s="857">
        <f>IF(ISNUMBER((('Resol  Asuntos'!D18/NºAsuntos!G18)-Datos!BF18)/Datos!BF18),(('Resol  Asuntos'!D18/NºAsuntos!G18)-Datos!BF18)/Datos!BF18," - ")</f>
        <v>-0.15987475052292402</v>
      </c>
      <c r="K18" s="857">
        <f>IF(ISNUMBER((((NºAsuntos!C18+NºAsuntos!E18)/NºAsuntos!G18)-Datos!BG18)/Datos!BG18),(((NºAsuntos!C18+NºAsuntos!E18)/NºAsuntos!G18)-Datos!BG18)/Datos!BG18," - ")</f>
        <v>-0.11549036089406838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-1.2366884232222604E-2</v>
      </c>
      <c r="C19" s="802">
        <f>IF(ISNUMBER(
   IF(J_V="SI",(Datos!J19-Datos!T19)/Datos!T19,(Datos!J19+Datos!Z19-(Datos!T19+Datos!AH19))/(Datos!T19+Datos!AH19))
     ),IF(J_V="SI",(Datos!J19-Datos!T19)/Datos!T19,(Datos!J19+Datos!Z19-(Datos!T19+Datos!AH19))/(Datos!T19+Datos!AH19))," - ")</f>
        <v>9.9248120300751887E-3</v>
      </c>
      <c r="D19" s="802">
        <f>IF(ISNUMBER(
   IF(J_V="SI",(Datos!K19-Datos!U19)/Datos!U19,(Datos!K19+Datos!AA19-(Datos!U19+Datos!AI19))/(Datos!U19+Datos!AI19))
     ),IF(J_V="SI",(Datos!K19-Datos!U19)/Datos!U19,(Datos!K19+Datos!AA19-(Datos!U19+Datos!AI19))/(Datos!U19+Datos!AI19))," - ")</f>
        <v>2.4525833878351864E-2</v>
      </c>
      <c r="E19" s="802">
        <f>IF(ISNUMBER(
   IF(J_V="SI",(Datos!L19-Datos!V19)/Datos!V19,(Datos!L19+Datos!AB19-(Datos!V19+Datos!AJ19))/(Datos!V19+Datos!AJ19))
     ),IF(J_V="SI",(Datos!L19-Datos!V19)/Datos!V19,(Datos!L19+Datos!AB19-(Datos!V19+Datos!AJ19))/(Datos!V19+Datos!AJ19))," - ")</f>
        <v>1.3813096862210095E-2</v>
      </c>
      <c r="F19" s="803">
        <f>IF(ISNUMBER((Datos!M19-Datos!W19)/Datos!W19),(Datos!M19-Datos!W19)/Datos!W19," - ")</f>
        <v>0.38271604938271603</v>
      </c>
      <c r="G19" s="804">
        <f>IF(ISNUMBER((Datos!N19-Datos!X19)/Datos!X19),(Datos!N19-Datos!X19)/Datos!X19," - ")</f>
        <v>1.9308125502815767E-2</v>
      </c>
      <c r="H19" s="805">
        <f>IF(ISNUMBER((Tasas!B19-Datos!BD19)/Datos!BD19),(Tasas!B19-Datos!BD19)/Datos!BD19," - ")</f>
        <v>1.4457533545419855E-2</v>
      </c>
      <c r="I19" s="806">
        <f>IF(ISNUMBER((Tasas!C19-Datos!BE19)/Datos!BE19),(Tasas!C19-Datos!BE19)/Datos!BE19," - ")</f>
        <v>-1.0456287837651347E-2</v>
      </c>
      <c r="J19" s="807">
        <f>IF(ISNUMBER((Tasas!D19-Datos!BF19)/Datos!BF19),(Tasas!D19-Datos!BF19)/Datos!BF19," - ")</f>
        <v>0.11835154689417074</v>
      </c>
      <c r="K19" s="807">
        <f>IF(ISNUMBER((Tasas!E19-Datos!BG19)/Datos!BG19),(Tasas!E19-Datos!BG19)/Datos!BG19," - ")</f>
        <v>-2.810034255892984E-2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KXlZLJh7JrTxkEpAn9JCwAcwr0LgsfiDt2JRY9B/4r2O5B8PJTV6APx4r9rm9C32E8xyl6ZyIxQ+V1U/9xOjg==" saltValue="gGducfMv5xZz3YOUqWeY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CACERES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0.89407540394973073</v>
      </c>
      <c r="C9" s="443">
        <f>IF(ISNUMBER(NºAsuntos!I9/NºAsuntos!G9),NºAsuntos!I9/NºAsuntos!G9," - ")</f>
        <v>2.3882195448460508</v>
      </c>
      <c r="D9" s="444">
        <f>IF(ISNUMBER('Resol  Asuntos'!D9/NºAsuntos!G9),'Resol  Asuntos'!D9/NºAsuntos!G9," - ")</f>
        <v>0.42436412315930389</v>
      </c>
      <c r="E9" s="445">
        <f>IF(ISNUMBER((NºAsuntos!C9+NºAsuntos!E9)/NºAsuntos!G9),(NºAsuntos!C9+NºAsuntos!E9)/NºAsuntos!G9," - ")</f>
        <v>3.3882195448460508</v>
      </c>
      <c r="G9" s="463"/>
    </row>
    <row r="10" spans="1:7">
      <c r="A10" s="402" t="str">
        <f>Datos!A10</f>
        <v>Jdos. Violencia contra la mujer</v>
      </c>
      <c r="B10" s="442">
        <f>IF(ISNUMBER(NºAsuntos!G10/NºAsuntos!E10),NºAsuntos!G10/NºAsuntos!E10," - ")</f>
        <v>0.22916666666666666</v>
      </c>
      <c r="C10" s="443">
        <f>IF(ISNUMBER(NºAsuntos!I10/NºAsuntos!G10),NºAsuntos!I10/NºAsuntos!G10," - ")</f>
        <v>18.90909090909091</v>
      </c>
      <c r="D10" s="444">
        <f>IF(ISNUMBER('Resol  Asuntos'!D10/NºAsuntos!G10),'Resol  Asuntos'!D10/NºAsuntos!G10," - ")</f>
        <v>1</v>
      </c>
      <c r="E10" s="445">
        <f>IF(ISNUMBER((NºAsuntos!C10+NºAsuntos!E10)/NºAsuntos!G10),(NºAsuntos!C10+NºAsuntos!E10)/NºAsuntos!G10," - ")</f>
        <v>19.90909090909091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16.333333333333332</v>
      </c>
      <c r="C12" s="443">
        <f>IF(ISNUMBER(NºAsuntos!I12/NºAsuntos!G12),NºAsuntos!I12/NºAsuntos!G12," - ")</f>
        <v>3.0612244897959182</v>
      </c>
      <c r="D12" s="444">
        <f>IF(ISNUMBER('Resol  Asuntos'!D12/NºAsuntos!G12),'Resol  Asuntos'!D12/NºAsuntos!G12," - ")</f>
        <v>0.44897959183673469</v>
      </c>
      <c r="E12" s="445">
        <f>IF(ISNUMBER((NºAsuntos!C12+NºAsuntos!E12)/NºAsuntos!G12),(NºAsuntos!C12+NºAsuntos!E12)/NºAsuntos!G12," - ")</f>
        <v>4.0612244897959187</v>
      </c>
      <c r="G12" s="463"/>
    </row>
    <row r="13" spans="1:7" ht="14.25" thickTop="1" thickBot="1">
      <c r="A13" s="848" t="str">
        <f>Datos!A13</f>
        <v>TOTAL</v>
      </c>
      <c r="B13" s="858">
        <f>IF(ISNUMBER(NºAsuntos!G13/NºAsuntos!E13),NºAsuntos!G13/NºAsuntos!E13," - ")</f>
        <v>0.90243902439024393</v>
      </c>
      <c r="C13" s="859">
        <f>IF(ISNUMBER(NºAsuntos!I13/NºAsuntos!G13),NºAsuntos!I13/NºAsuntos!G13," - ")</f>
        <v>2.5263835263835266</v>
      </c>
      <c r="D13" s="860">
        <f>IF(ISNUMBER('Resol  Asuntos'!D13/NºAsuntos!G13),'Resol  Asuntos'!D13/NºAsuntos!G13," - ")</f>
        <v>0.42921492921492921</v>
      </c>
      <c r="E13" s="861">
        <f>IF(ISNUMBER((NºAsuntos!C13+NºAsuntos!E13)/NºAsuntos!G13),(NºAsuntos!C13+NºAsuntos!E13)/NºAsuntos!G13," - ")</f>
        <v>3.5263835263835266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0.93529411764705883</v>
      </c>
      <c r="C15" s="443">
        <f>IF(ISNUMBER(NºAsuntos!I15/NºAsuntos!G15),NºAsuntos!I15/NºAsuntos!G15," - ")</f>
        <v>1.5741239892183287</v>
      </c>
      <c r="D15" s="444">
        <f>IF(ISNUMBER('Resol  Asuntos'!D15/NºAsuntos!G15),'Resol  Asuntos'!D15/NºAsuntos!G15," - ")</f>
        <v>0.13387241689128482</v>
      </c>
      <c r="E15" s="445">
        <f>IF(ISNUMBER((NºAsuntos!C15+NºAsuntos!E15)/NºAsuntos!G15),(NºAsuntos!C15+NºAsuntos!E15)/NºAsuntos!G15," - ")</f>
        <v>2.6046720575022464</v>
      </c>
      <c r="G15" s="463"/>
    </row>
    <row r="16" spans="1:7">
      <c r="A16" s="402" t="str">
        <f>Datos!A16</f>
        <v xml:space="preserve">Jdos. 1ª Instª. e Instr.                        </v>
      </c>
      <c r="B16" s="442">
        <f>IF(ISNUMBER(NºAsuntos!G16/NºAsuntos!E16),NºAsuntos!G16/NºAsuntos!E16," - ")</f>
        <v>2.7619047619047619</v>
      </c>
      <c r="C16" s="443">
        <f>IF(ISNUMBER(NºAsuntos!I16/NºAsuntos!G16),NºAsuntos!I16/NºAsuntos!G16," - ")</f>
        <v>1.8275862068965518</v>
      </c>
      <c r="D16" s="444">
        <f>IF(ISNUMBER('Resol  Asuntos'!D16/NºAsuntos!G16),'Resol  Asuntos'!D16/NºAsuntos!G16," - ")</f>
        <v>0.10344827586206896</v>
      </c>
      <c r="E16" s="445">
        <f>IF(ISNUMBER((NºAsuntos!C16+NºAsuntos!E16)/NºAsuntos!G16),(NºAsuntos!C16+NºAsuntos!E16)/NºAsuntos!G16," - ")</f>
        <v>2.7586206896551726</v>
      </c>
      <c r="G16" s="463"/>
    </row>
    <row r="17" spans="1:7" ht="13.5" thickBot="1">
      <c r="A17" s="402" t="str">
        <f>Datos!A17</f>
        <v>Jdos. Violencia contra la mujer</v>
      </c>
      <c r="B17" s="442">
        <f>IF(ISNUMBER(NºAsuntos!G17/NºAsuntos!E17),NºAsuntos!G17/NºAsuntos!E17," - ")</f>
        <v>0.96</v>
      </c>
      <c r="C17" s="443">
        <f>IF(ISNUMBER(NºAsuntos!I17/NºAsuntos!G17),NºAsuntos!I17/NºAsuntos!G17," - ")</f>
        <v>0.39460784313725489</v>
      </c>
      <c r="D17" s="444">
        <f>IF(ISNUMBER('Resol  Asuntos'!D17/NºAsuntos!G17),'Resol  Asuntos'!D17/NºAsuntos!G17," - ")</f>
        <v>0.18137254901960784</v>
      </c>
      <c r="E17" s="445">
        <f>IF(ISNUMBER((NºAsuntos!C17+NºAsuntos!E17)/NºAsuntos!G17),(NºAsuntos!C17+NºAsuntos!E17)/NºAsuntos!G17," - ")</f>
        <v>1.3946078431372548</v>
      </c>
      <c r="G17" s="463"/>
    </row>
    <row r="18" spans="1:7" ht="14.25" thickTop="1" thickBot="1">
      <c r="A18" s="848" t="str">
        <f>Datos!A18</f>
        <v>TOTAL</v>
      </c>
      <c r="B18" s="858">
        <f>IF(ISNUMBER(NºAsuntos!G18/NºAsuntos!E18),NºAsuntos!G18/NºAsuntos!E18," - ")</f>
        <v>0.96515892420537897</v>
      </c>
      <c r="C18" s="859">
        <f>IF(ISNUMBER(NºAsuntos!I18/NºAsuntos!G18),NºAsuntos!I18/NºAsuntos!G18," - ")</f>
        <v>1.2786573780873971</v>
      </c>
      <c r="D18" s="862">
        <f>IF(ISNUMBER('Resol  Asuntos'!D18/NºAsuntos!G18),'Resol  Asuntos'!D18/NºAsuntos!G18," - ")</f>
        <v>0.14502849905003168</v>
      </c>
      <c r="E18" s="861">
        <f>IF(ISNUMBER((NºAsuntos!C18+NºAsuntos!E18)/NºAsuntos!G18),(NºAsuntos!C18+NºAsuntos!E18)/NºAsuntos!G18," - ")</f>
        <v>2.2976567447751743</v>
      </c>
      <c r="G18" s="463"/>
    </row>
    <row r="19" spans="1:7" ht="15.75" customHeight="1" thickTop="1" thickBot="1">
      <c r="A19" s="793" t="str">
        <f>Datos!A19</f>
        <v>TOTAL JURISDICCIONES</v>
      </c>
      <c r="B19" s="808">
        <f>IF(ISNUMBER(NºAsuntos!G19/NºAsuntos!E19),NºAsuntos!G19/NºAsuntos!E19," - ")</f>
        <v>0.93299583085169746</v>
      </c>
      <c r="C19" s="809">
        <f>IF(ISNUMBER(NºAsuntos!I19/NºAsuntos!G19),NºAsuntos!I19/NºAsuntos!G19," - ")</f>
        <v>1.897542291733163</v>
      </c>
      <c r="D19" s="810">
        <f>IF(ISNUMBER('Resol  Asuntos'!D19/NºAsuntos!G19),'Resol  Asuntos'!D19/NºAsuntos!G19," - ")</f>
        <v>0.2859878710501117</v>
      </c>
      <c r="E19" s="811">
        <f>IF(ISNUMBER((NºAsuntos!C19+NºAsuntos!E19)/NºAsuntos!G19),(NºAsuntos!C19+NºAsuntos!E19)/NºAsuntos!G19," - ")</f>
        <v>2.907117778487073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gDloikdlBPU7ZI7aN6sSIh2ESUWao4V/uh7bob2w3EVg/7piwyEgvN949NP4URmufuPOBx9DmX7EivKMcZe5A==" saltValue="aUPO51EC3ZABSHueg6fc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CACERES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302</v>
      </c>
      <c r="Y9" s="334">
        <f>SUM(W9:X9)</f>
        <v>302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4243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634</v>
      </c>
      <c r="AJ9" s="229" t="str">
        <f>IF(ISNUMBER(Datos!BW9),Datos!BW9," - ")</f>
        <v xml:space="preserve"> - </v>
      </c>
      <c r="AK9" s="228" t="str">
        <f>IF(ISNUMBER(Datos!BX9),Datos!BX9," - ")</f>
        <v xml:space="preserve"> - </v>
      </c>
      <c r="AL9" s="243">
        <f>IF(ISNUMBER(NºAsuntos!G9/NºAsuntos!E9),NºAsuntos!G9/NºAsuntos!E9," - ")</f>
        <v>0.89407540394973073</v>
      </c>
      <c r="AM9" s="260">
        <f>IF(ISNUMBER(((NºAsuntos!I9/NºAsuntos!G9)*11)/factor_trimestre),((NºAsuntos!I9/NºAsuntos!G9)*11)/factor_trimestre," - ")</f>
        <v>4.7764390896921016</v>
      </c>
      <c r="AN9" s="244">
        <f>IF(ISNUMBER('Resol  Asuntos'!D9/NºAsuntos!G9),'Resol  Asuntos'!D9/NºAsuntos!G9," - ")</f>
        <v>0.42436412315930389</v>
      </c>
      <c r="AO9" s="245">
        <f>IF(ISNUMBER((NºAsuntos!C9+NºAsuntos!E9)/NºAsuntos!G9),(NºAsuntos!C9+NºAsuntos!E9)/NºAsuntos!G9," - ")</f>
        <v>3.3882195448460508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171</v>
      </c>
      <c r="G10" s="333">
        <f>IF(ISNUMBER(Datos!I10),Datos!I10," - ")</f>
        <v>171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1</v>
      </c>
      <c r="Y10" s="334">
        <f t="shared" ref="Y10:Y12" si="0">SUM(W10:X10)</f>
        <v>12</v>
      </c>
      <c r="Z10" s="335" t="str">
        <f>IF(ISNUMBER(Datos!CC10),Datos!CC10," - ")</f>
        <v xml:space="preserve"> - </v>
      </c>
      <c r="AA10" s="332">
        <f>IF(ISNUMBER(Datos!L10),Datos!L10,"-")</f>
        <v>208</v>
      </c>
      <c r="AB10" s="334">
        <f>IF(ISNUMBER(Datos!R10),Datos!R10," - ")</f>
        <v>12</v>
      </c>
      <c r="AC10" s="334">
        <f t="shared" ref="AC10:AC12" si="1">IF(ISNUMBER(AA10+AB10),AA10+AB10," - ")</f>
        <v>220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0.22916666666666666</v>
      </c>
      <c r="AM10" s="260">
        <f>IF(ISNUMBER(((NºAsuntos!I10/NºAsuntos!G10)*11)/factor_trimestre),((NºAsuntos!I10/NºAsuntos!G10)*11)/factor_trimestre," - ")</f>
        <v>37.81818181818182</v>
      </c>
      <c r="AN10" s="244">
        <f>IF(ISNUMBER('Resol  Asuntos'!D10/NºAsuntos!G10),'Resol  Asuntos'!D10/NºAsuntos!G10," - ")</f>
        <v>1</v>
      </c>
      <c r="AO10" s="245">
        <f>IF(ISNUMBER((NºAsuntos!C10+NºAsuntos!E10)/NºAsuntos!G10),(NºAsuntos!C10+NºAsuntos!E10)/NºAsuntos!G10," - ")</f>
        <v>19.90909090909091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187</v>
      </c>
      <c r="Y12" s="334">
        <f t="shared" si="0"/>
        <v>187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v>
      </c>
      <c r="AJ12" s="229" t="str">
        <f>IF(ISNUMBER(Datos!BW12),Datos!BW12," - ")</f>
        <v xml:space="preserve"> - </v>
      </c>
      <c r="AK12" s="228" t="str">
        <f>IF(ISNUMBER(Datos!BX12),Datos!BX12," - ")</f>
        <v xml:space="preserve"> - </v>
      </c>
      <c r="AL12" s="243">
        <f>IF(ISNUMBER(NºAsuntos!G12/NºAsuntos!E12),NºAsuntos!G12/NºAsuntos!E12," - ")</f>
        <v>16.333333333333332</v>
      </c>
      <c r="AM12" s="260">
        <f>IF(ISNUMBER(((NºAsuntos!I12/NºAsuntos!G12)*11)/factor_trimestre),((NºAsuntos!I12/NºAsuntos!G12)*11)/factor_trimestre," - ")</f>
        <v>6.1224489795918364</v>
      </c>
      <c r="AN12" s="244">
        <f>IF(ISNUMBER('Resol  Asuntos'!D12/NºAsuntos!G12),'Resol  Asuntos'!D12/NºAsuntos!G12," - ")</f>
        <v>0.44897959183673469</v>
      </c>
      <c r="AO12" s="245">
        <f>IF(ISNUMBER((NºAsuntos!C12+NºAsuntos!E12)/NºAsuntos!G12),(NºAsuntos!C12+NºAsuntos!E12)/NºAsuntos!G12," - ")</f>
        <v>4.0612244897959187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171</v>
      </c>
      <c r="G13" s="866">
        <f t="shared" si="3"/>
        <v>171</v>
      </c>
      <c r="H13" s="865">
        <f t="shared" si="3"/>
        <v>0</v>
      </c>
      <c r="I13" s="867">
        <f t="shared" si="3"/>
        <v>0</v>
      </c>
      <c r="J13" s="867">
        <f t="shared" si="3"/>
        <v>0</v>
      </c>
      <c r="K13" s="867">
        <f t="shared" si="3"/>
        <v>0</v>
      </c>
      <c r="L13" s="867">
        <f t="shared" si="3"/>
        <v>406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490</v>
      </c>
      <c r="Y13" s="868">
        <f t="shared" si="4"/>
        <v>501</v>
      </c>
      <c r="Z13" s="868">
        <f t="shared" si="4"/>
        <v>0</v>
      </c>
      <c r="AA13" s="868">
        <f t="shared" si="4"/>
        <v>208</v>
      </c>
      <c r="AB13" s="868">
        <f t="shared" si="4"/>
        <v>6519</v>
      </c>
      <c r="AC13" s="868">
        <f t="shared" si="4"/>
        <v>220</v>
      </c>
      <c r="AD13" s="868">
        <f t="shared" si="4"/>
        <v>0</v>
      </c>
      <c r="AE13" s="872">
        <f t="shared" si="4"/>
        <v>0</v>
      </c>
      <c r="AF13" s="865">
        <f t="shared" si="4"/>
        <v>0</v>
      </c>
      <c r="AG13" s="873">
        <f t="shared" si="4"/>
        <v>0</v>
      </c>
      <c r="AH13" s="870">
        <f t="shared" si="4"/>
        <v>0</v>
      </c>
      <c r="AI13" s="865">
        <f t="shared" si="4"/>
        <v>667</v>
      </c>
      <c r="AJ13" s="867">
        <f t="shared" si="4"/>
        <v>0</v>
      </c>
      <c r="AK13" s="870">
        <f>SUBTOTAL(9,AK9:AK12)</f>
        <v>0</v>
      </c>
      <c r="AL13" s="874">
        <f>IF(ISNUMBER(NºAsuntos!G13/NºAsuntos!E13),NºAsuntos!G13/NºAsuntos!E13," - ")</f>
        <v>0.90243902439024393</v>
      </c>
      <c r="AM13" s="874">
        <f>IF(ISNUMBER(((NºAsuntos!I13/NºAsuntos!G13)*11)/factor_trimestre),((NºAsuntos!I13/NºAsuntos!G13)*11)/factor_trimestre," - ")</f>
        <v>5.0527670527670532</v>
      </c>
      <c r="AN13" s="875">
        <f>IF(ISNUMBER('Resol  Asuntos'!D13/NºAsuntos!G13),'Resol  Asuntos'!D13/NºAsuntos!G13," - ")</f>
        <v>0.42921492921492921</v>
      </c>
      <c r="AO13" s="876">
        <f>IF(ISNUMBER((NºAsuntos!C13+NºAsuntos!E13)/NºAsuntos!G13),(NºAsuntos!C13+NºAsuntos!E13)/NºAsuntos!G13," - ")</f>
        <v>3.5263835263835266</v>
      </c>
      <c r="AP13" s="877" t="str">
        <f t="shared" si="2"/>
        <v xml:space="preserve"> - </v>
      </c>
      <c r="AQ13" s="877">
        <f>IF(ISNUMBER((H13-W13+K13)/(F13)),(H13-W13+K13)/(F13)," - ")</f>
        <v>-6.4327485380116955E-2</v>
      </c>
      <c r="AR13" s="878">
        <f>IF(ISNUMBER((Datos!P13-Datos!Q13)/(Datos!R13-Datos!P13+Datos!Q13)),(Datos!P13-Datos!Q13)/(Datos!R13-Datos!P13+Datos!Q13)," - ")</f>
        <v>-1.2721490231712857E-2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1675</v>
      </c>
      <c r="G15" s="333">
        <f>IF(ISNUMBER(IF(D_I="SI",Datos!I15,Datos!I15+Datos!AC15)),IF(D_I="SI",Datos!I15,Datos!I15+Datos!AC15)," - ")</f>
        <v>1709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1113</v>
      </c>
      <c r="X15" s="226">
        <f>IF(ISNUMBER(Datos!Q15),Datos!Q15," - ")</f>
        <v>39</v>
      </c>
      <c r="Y15" s="334">
        <f>SUM(W15)</f>
        <v>1113</v>
      </c>
      <c r="Z15" s="335" t="str">
        <f>IF(ISNUMBER(Datos!CC15),Datos!CC15," - ")</f>
        <v xml:space="preserve"> - </v>
      </c>
      <c r="AA15" s="332">
        <f>IF(ISNUMBER(IF(D_I="SI",Datos!L15,Datos!L15+Datos!AF15)),IF(D_I="SI",Datos!L15,Datos!L15+Datos!AF15)," - ")</f>
        <v>1752</v>
      </c>
      <c r="AB15" s="334">
        <f>IF(ISNUMBER(Datos!R15),Datos!R15," - ")</f>
        <v>250</v>
      </c>
      <c r="AC15" s="334">
        <f t="shared" ref="AC15:AC17" si="6">IF(ISNUMBER(AA15+AB15),AA15+AB15," - ")</f>
        <v>2002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149</v>
      </c>
      <c r="AJ15" s="231" t="str">
        <f>IF(ISNUMBER(Datos!BW15),Datos!BW15," - ")</f>
        <v xml:space="preserve"> - </v>
      </c>
      <c r="AK15" s="232" t="str">
        <f>IF(ISNUMBER(Datos!BX15),Datos!BX15," - ")</f>
        <v xml:space="preserve"> - </v>
      </c>
      <c r="AL15" s="243">
        <f>IF(ISNUMBER(NºAsuntos!G15/NºAsuntos!E15),NºAsuntos!G15/NºAsuntos!E15," - ")</f>
        <v>0.93529411764705883</v>
      </c>
      <c r="AM15" s="260">
        <f>IF(ISNUMBER(((NºAsuntos!I15/NºAsuntos!G15)*11)/factor_trimestre),((NºAsuntos!I15/NºAsuntos!G15)*11)/factor_trimestre," - ")</f>
        <v>3.1482479784366575</v>
      </c>
      <c r="AN15" s="244">
        <f>IF(ISNUMBER('Resol  Asuntos'!D15/NºAsuntos!G15),'Resol  Asuntos'!D15/NºAsuntos!G15," - ")</f>
        <v>0.13387241689128482</v>
      </c>
      <c r="AO15" s="245">
        <f>IF(ISNUMBER((NºAsuntos!C15+NºAsuntos!E15)/NºAsuntos!G15),(NºAsuntos!C15+NºAsuntos!E15)/NºAsuntos!G15," - ")</f>
        <v>2.6046720575022464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143</v>
      </c>
      <c r="G16" s="333">
        <f>IF(ISNUMBER(IF(D_I="SI",Datos!I16,Datos!I16+Datos!AC16)),IF(D_I="SI",Datos!I16,Datos!I16+Datos!AC16)," - ")</f>
        <v>139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v>
      </c>
      <c r="X16" s="226">
        <f>IF(ISNUMBER(Datos!Q16),Datos!Q16," - ")</f>
        <v>6</v>
      </c>
      <c r="Y16" s="334">
        <f t="shared" ref="Y16:Y17" si="7">SUM(W16:X16)</f>
        <v>64</v>
      </c>
      <c r="Z16" s="335" t="str">
        <f>IF(ISNUMBER(Datos!CC16),Datos!CC16," - ")</f>
        <v xml:space="preserve"> - </v>
      </c>
      <c r="AA16" s="332">
        <f>IF(ISNUMBER(IF(D_I="SI",Datos!L16,Datos!L16+Datos!AF16)),IF(D_I="SI",Datos!L16,Datos!L16+Datos!AF16)," - ")</f>
        <v>106</v>
      </c>
      <c r="AB16" s="334">
        <f>IF(ISNUMBER(Datos!R16),Datos!R16," - ")</f>
        <v>40</v>
      </c>
      <c r="AC16" s="334">
        <f t="shared" si="6"/>
        <v>146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2.7619047619047619</v>
      </c>
      <c r="AM16" s="260">
        <f>IF(ISNUMBER(((NºAsuntos!I16/NºAsuntos!G16)*11)/factor_trimestre),((NºAsuntos!I16/NºAsuntos!G16)*11)/factor_trimestre," - ")</f>
        <v>3.6551724137931036</v>
      </c>
      <c r="AN16" s="244">
        <f>IF(ISNUMBER('Resol  Asuntos'!D16/NºAsuntos!G16),'Resol  Asuntos'!D16/NºAsuntos!G16," - ")</f>
        <v>0.10344827586206896</v>
      </c>
      <c r="AO16" s="245">
        <f>IF(ISNUMBER((NºAsuntos!C16+NºAsuntos!E16)/NºAsuntos!G16),(NºAsuntos!C16+NºAsuntos!E16)/NºAsuntos!G16," - ")</f>
        <v>2.7586206896551726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408</v>
      </c>
      <c r="X17" s="226">
        <f>IF(ISNUMBER(Datos!Q17),Datos!Q17," - ")</f>
        <v>0</v>
      </c>
      <c r="Y17" s="334">
        <f t="shared" si="7"/>
        <v>408</v>
      </c>
      <c r="Z17" s="335" t="str">
        <f>IF(ISNUMBER(Datos!CC17),Datos!CC17," - ")</f>
        <v xml:space="preserve"> - </v>
      </c>
      <c r="AA17" s="332">
        <f>IF(ISNUMBER(Datos!L17),Datos!L17,"-")</f>
        <v>161</v>
      </c>
      <c r="AB17" s="334">
        <f>IF(ISNUMBER(Datos!R17),Datos!R17," - ")</f>
        <v>0</v>
      </c>
      <c r="AC17" s="334">
        <f t="shared" si="6"/>
        <v>161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74</v>
      </c>
      <c r="AJ17" s="231" t="str">
        <f>IF(ISNUMBER(Datos!BW17),Datos!BW17," - ")</f>
        <v xml:space="preserve"> - </v>
      </c>
      <c r="AK17" s="232" t="str">
        <f>IF(ISNUMBER(Datos!BX17),Datos!BX17," - ")</f>
        <v xml:space="preserve"> - </v>
      </c>
      <c r="AL17" s="243">
        <f>IF(ISNUMBER(NºAsuntos!G17/NºAsuntos!E17),NºAsuntos!G17/NºAsuntos!E17," - ")</f>
        <v>0.96</v>
      </c>
      <c r="AM17" s="260">
        <f>IF(ISNUMBER(((NºAsuntos!I17/NºAsuntos!G17)*11)/factor_trimestre),((NºAsuntos!I17/NºAsuntos!G17)*11)/factor_trimestre," - ")</f>
        <v>0.78921568627450978</v>
      </c>
      <c r="AN17" s="244">
        <f>IF(ISNUMBER('Resol  Asuntos'!D17/NºAsuntos!G17),'Resol  Asuntos'!D17/NºAsuntos!G17," - ")</f>
        <v>0.18137254901960784</v>
      </c>
      <c r="AO17" s="245">
        <f>IF(ISNUMBER((NºAsuntos!C17+NºAsuntos!E17)/NºAsuntos!G17),(NºAsuntos!C17+NºAsuntos!E17)/NºAsuntos!G17," - ")</f>
        <v>1.3946078431372548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1818</v>
      </c>
      <c r="G18" s="866">
        <f>SUBTOTAL(9,G15:G17)</f>
        <v>1992</v>
      </c>
      <c r="H18" s="865">
        <f t="shared" ref="H18:O18" si="10">SUBTOTAL(9,H14:H17)</f>
        <v>0</v>
      </c>
      <c r="I18" s="867">
        <f t="shared" si="10"/>
        <v>0</v>
      </c>
      <c r="J18" s="867">
        <f t="shared" si="10"/>
        <v>0</v>
      </c>
      <c r="K18" s="867">
        <f t="shared" si="10"/>
        <v>0</v>
      </c>
      <c r="L18" s="867">
        <f t="shared" si="10"/>
        <v>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1579</v>
      </c>
      <c r="X18" s="867">
        <f t="shared" si="11"/>
        <v>45</v>
      </c>
      <c r="Y18" s="868">
        <f t="shared" si="11"/>
        <v>1585</v>
      </c>
      <c r="Z18" s="868">
        <f t="shared" si="11"/>
        <v>0</v>
      </c>
      <c r="AA18" s="868">
        <f t="shared" si="11"/>
        <v>2019</v>
      </c>
      <c r="AB18" s="868">
        <f t="shared" si="11"/>
        <v>290</v>
      </c>
      <c r="AC18" s="868">
        <f t="shared" si="11"/>
        <v>2309</v>
      </c>
      <c r="AD18" s="868">
        <f t="shared" si="11"/>
        <v>0</v>
      </c>
      <c r="AE18" s="872">
        <f t="shared" si="11"/>
        <v>0</v>
      </c>
      <c r="AF18" s="865">
        <f t="shared" si="11"/>
        <v>0</v>
      </c>
      <c r="AG18" s="873">
        <f t="shared" si="11"/>
        <v>0</v>
      </c>
      <c r="AH18" s="870">
        <f t="shared" si="11"/>
        <v>0</v>
      </c>
      <c r="AI18" s="865">
        <f t="shared" si="11"/>
        <v>229</v>
      </c>
      <c r="AJ18" s="867">
        <f t="shared" si="11"/>
        <v>0</v>
      </c>
      <c r="AK18" s="870">
        <f t="shared" si="11"/>
        <v>0</v>
      </c>
      <c r="AL18" s="874">
        <f>IF(ISNUMBER(NºAsuntos!G18/NºAsuntos!E18),NºAsuntos!G18/NºAsuntos!E18," - ")</f>
        <v>0.96515892420537897</v>
      </c>
      <c r="AM18" s="874">
        <f>IF(ISNUMBER(((NºAsuntos!I18/NºAsuntos!G18)*11)/factor_trimestre),((NºAsuntos!I18/NºAsuntos!G18)*11)/factor_trimestre," - ")</f>
        <v>2.5573147561747942</v>
      </c>
      <c r="AN18" s="875">
        <f>IF(ISNUMBER('Resol  Asuntos'!D18/NºAsuntos!G18),'Resol  Asuntos'!D18/NºAsuntos!G18," - ")</f>
        <v>0.14502849905003168</v>
      </c>
      <c r="AO18" s="876">
        <f>IF(ISNUMBER((NºAsuntos!C18+NºAsuntos!E18)/NºAsuntos!G18),(NºAsuntos!C18+NºAsuntos!E18)/NºAsuntos!G18," - ")</f>
        <v>2.2976567447751743</v>
      </c>
      <c r="AP18" s="877" t="str">
        <f t="shared" si="2"/>
        <v xml:space="preserve"> - </v>
      </c>
      <c r="AQ18" s="877">
        <f>IF(ISNUMBER((H18-W18+K18)/(F18)),(H18-W18+K18)/(F18)," - ")</f>
        <v>-0.86853685368536848</v>
      </c>
      <c r="AR18" s="878">
        <f>IF(ISNUMBER((Datos!P18-Datos!Q18)/(Datos!R18-Datos!P18+Datos!Q18)),(Datos!P18-Datos!Q18)/(Datos!R18-Datos!P18+Datos!Q18)," - ")</f>
        <v>0.10266159695817491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1989</v>
      </c>
      <c r="G19" s="821">
        <f t="shared" si="13"/>
        <v>2163</v>
      </c>
      <c r="H19" s="820">
        <f t="shared" si="13"/>
        <v>0</v>
      </c>
      <c r="I19" s="822">
        <f t="shared" si="13"/>
        <v>0</v>
      </c>
      <c r="J19" s="822">
        <f t="shared" si="13"/>
        <v>0</v>
      </c>
      <c r="K19" s="881">
        <f t="shared" si="13"/>
        <v>0</v>
      </c>
      <c r="L19" s="822">
        <f t="shared" si="13"/>
        <v>478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1590</v>
      </c>
      <c r="X19" s="821">
        <f t="shared" si="14"/>
        <v>535</v>
      </c>
      <c r="Y19" s="828">
        <f t="shared" si="14"/>
        <v>2086</v>
      </c>
      <c r="Z19" s="828">
        <f t="shared" si="14"/>
        <v>0</v>
      </c>
      <c r="AA19" s="828">
        <f t="shared" si="14"/>
        <v>2227</v>
      </c>
      <c r="AB19" s="828">
        <f t="shared" si="14"/>
        <v>6809</v>
      </c>
      <c r="AC19" s="828">
        <f t="shared" si="14"/>
        <v>2529</v>
      </c>
      <c r="AD19" s="828">
        <f t="shared" si="14"/>
        <v>0</v>
      </c>
      <c r="AE19" s="830">
        <f t="shared" si="14"/>
        <v>0</v>
      </c>
      <c r="AF19" s="831">
        <f t="shared" si="14"/>
        <v>0</v>
      </c>
      <c r="AG19" s="832">
        <f t="shared" si="14"/>
        <v>0</v>
      </c>
      <c r="AH19" s="830">
        <f t="shared" si="14"/>
        <v>0</v>
      </c>
      <c r="AI19" s="820">
        <f t="shared" si="14"/>
        <v>896</v>
      </c>
      <c r="AJ19" s="820">
        <f t="shared" si="14"/>
        <v>0</v>
      </c>
      <c r="AK19" s="830">
        <f t="shared" si="14"/>
        <v>0</v>
      </c>
      <c r="AL19" s="884">
        <f>IF(ISNUMBER(NºAsuntos!G19/NºAsuntos!E19),NºAsuntos!G19/NºAsuntos!E19," - ")</f>
        <v>0.93299583085169746</v>
      </c>
      <c r="AM19" s="885">
        <f>IF(ISNUMBER(((NºAsuntos!I19/NºAsuntos!G19)*11)/factor_trimestre),((NºAsuntos!I19/NºAsuntos!G19)*11)/factor_trimestre," - ")</f>
        <v>3.7950845834663265</v>
      </c>
      <c r="AN19" s="885">
        <f>IF(ISNUMBER('Resol  Asuntos'!D19/NºAsuntos!G19),'Resol  Asuntos'!D19/NºAsuntos!G19," - ")</f>
        <v>0.2859878710501117</v>
      </c>
      <c r="AO19" s="886">
        <f>IF(ISNUMBER((NºAsuntos!C19+NºAsuntos!E19)/NºAsuntos!G19),(NºAsuntos!C19+NºAsuntos!E19)/NºAsuntos!G19," - ")</f>
        <v>2.907117778487073</v>
      </c>
      <c r="AP19" s="887" t="str">
        <f t="shared" si="2"/>
        <v xml:space="preserve"> - </v>
      </c>
      <c r="AQ19" s="888">
        <f>IF(OR(ISNUMBER(FIND("01",Criterios!A8,1)),ISNUMBER(FIND("02",Criterios!A8,1)),ISNUMBER(FIND("03",Criterios!A8,1)),ISNUMBER(FIND("04",Criterios!A8,1))),(I19-W19+K19)/(F19-K19),(H19-W19+K19)/(F19-K19))</f>
        <v>-0.79939668174962297</v>
      </c>
      <c r="AR19" s="889">
        <f>IF(ISNUMBER((Datos!P19-Datos!Q19)/(Datos!R19-Datos!P19+Datos!Q19)),(Datos!P19-Datos!Q19)/(Datos!R19-Datos!P19+Datos!Q19)," - ")</f>
        <v>-8.3017768715409265E-3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869.59519317898719</v>
      </c>
      <c r="G21" s="253">
        <f>IF(ISNUMBER(STDEV(G8:G18)),STDEV(G8:G18),"-")</f>
        <v>879.57239611074647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665.83481434962528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274.1730423343206</v>
      </c>
      <c r="AJ21" s="252">
        <f t="shared" si="18"/>
        <v>0</v>
      </c>
      <c r="AK21" s="254">
        <f t="shared" si="18"/>
        <v>0</v>
      </c>
      <c r="AL21" s="249">
        <f t="shared" si="18"/>
        <v>5.4368032905650097</v>
      </c>
      <c r="AM21" s="250">
        <f t="shared" si="18"/>
        <v>12.164122568491585</v>
      </c>
      <c r="AN21" s="250">
        <f t="shared" si="18"/>
        <v>0.29796938230187875</v>
      </c>
      <c r="AO21" s="251">
        <f t="shared" si="18"/>
        <v>6.0826934692803887</v>
      </c>
      <c r="AP21" s="291" t="str">
        <f t="shared" si="18"/>
        <v>-</v>
      </c>
      <c r="AQ21" s="292">
        <f t="shared" si="18"/>
        <v>0.56866189782239318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v+NCQXnPsztBm5GN+83sDahZ4uDUrxSp+xJcwuEKSHSUjQqFfM5nrgSDL7PuLLVKU6VpadxFdfxzPntBbapIw==" saltValue="dhKq4H+fxmZCalV7hzvf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CACERES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0.86470588235294121</v>
      </c>
      <c r="I9" s="350">
        <f>IF(ISNUMBER((Tasas!C9-Datos!BE9)/Datos!BE9),(Tasas!C9-Datos!BE9)/Datos!BE9," - ")</f>
        <v>0.13047629112942999</v>
      </c>
      <c r="J9" s="349">
        <f>IF(ISNUMBER((Tasas!D9-Datos!BF9)/Datos!BF9),(Tasas!D9-Datos!BF9)/Datos!BF9," - ")</f>
        <v>0.24117880737040312</v>
      </c>
      <c r="K9" s="351">
        <f>IF(ISNUMBER((Tasas!E9-Datos!BG9)/Datos!BG9),(Tasas!E9-Datos!BG9)/Datos!BG9," - ")</f>
        <v>8.8557250509816277E-2</v>
      </c>
      <c r="M9" t="e">
        <f>IF(Monitorios="SI",Datos!CE9,0)</f>
        <v>#REF!</v>
      </c>
      <c r="N9" t="e">
        <f>IF(Monitorios="SI",Datos!CF9,0)</f>
        <v>#REF!</v>
      </c>
      <c r="O9" t="e">
        <f>IF(Monitorios="SI",Datos!CG9,0)</f>
        <v>#REF!</v>
      </c>
      <c r="P9" t="e">
        <f>IF(Monitorios="SI",Datos!CH9,0)</f>
        <v>#REF!</v>
      </c>
      <c r="Q9">
        <f>IF(J_V="SI",0,Datos!AG9)</f>
        <v>188</v>
      </c>
      <c r="R9">
        <f>IF(J_V="SI",0,Datos!AH9)</f>
        <v>171</v>
      </c>
      <c r="S9">
        <f>IF(J_V="SI",0,Datos!AI9)</f>
        <v>123</v>
      </c>
      <c r="T9">
        <f>IF(J_V="SI",0,Datos!AJ9)</f>
        <v>236</v>
      </c>
    </row>
    <row r="10" spans="2:20" ht="14.25">
      <c r="B10" s="275" t="s">
        <v>246</v>
      </c>
      <c r="C10" s="7" t="str">
        <f>Datos!A10</f>
        <v>Jdos. Violencia contra la mujer</v>
      </c>
      <c r="D10" s="352">
        <f>IF(ISNUMBER((Datos!I10-Datos!S10)/Datos!S10),(Datos!I10-Datos!S10)/Datos!S10," - ")</f>
        <v>1.1375</v>
      </c>
      <c r="E10" s="348">
        <f>IF(ISNUMBER((Datos!J10-Datos!T10)/Datos!T10),(Datos!J10-Datos!T10)/Datos!T10," - ")</f>
        <v>0.17073170731707318</v>
      </c>
      <c r="F10" s="348">
        <f>IF(ISNUMBER((Datos!K10-Datos!U10)/Datos!U10),(Datos!K10-Datos!U10)/Datos!U10," - ")</f>
        <v>-0.26666666666666666</v>
      </c>
      <c r="G10" s="349">
        <f>IF(ISNUMBER((Datos!L10-Datos!V10)/Datos!V10),(Datos!L10-Datos!V10)/Datos!V10," - ")</f>
        <v>0.96226415094339623</v>
      </c>
      <c r="H10" s="230">
        <f>IF(ISNUMBER((Datos!M10-Datos!W10)/Datos!W10),(Datos!M10-Datos!W10)/Datos!W10," - ")</f>
        <v>1.2</v>
      </c>
      <c r="I10" s="350">
        <f>IF(ISNUMBER((Tasas!C10-Datos!BE10)/Datos!BE10),(Tasas!C10-Datos!BE10)/Datos!BE10," - ")</f>
        <v>1.6758147512864496</v>
      </c>
      <c r="J10" s="349">
        <f>IF(ISNUMBER((Tasas!D10-Datos!BF10)/Datos!BF10),(Tasas!D10-Datos!BF10)/Datos!BF10," - ")</f>
        <v>2.0000000000000004</v>
      </c>
      <c r="K10" s="351">
        <f>IF(ISNUMBER((Tasas!E10-Datos!BG10)/Datos!BG10),(Tasas!E10-Datos!BG10)/Datos!BG10," - ")</f>
        <v>1.4680691209616832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-0.57692307692307687</v>
      </c>
      <c r="I12" s="350">
        <f>IF(ISNUMBER((Tasas!C12-Datos!BE12)/Datos!BE12),(Tasas!C12-Datos!BE12)/Datos!BE12," - ")</f>
        <v>-0.1770901909150758</v>
      </c>
      <c r="J12" s="349">
        <f>IF(ISNUMBER((Tasas!D12-Datos!BF12)/Datos!BF12),(Tasas!D12-Datos!BF12)/Datos!BF12," - ")</f>
        <v>0.98079231692677082</v>
      </c>
      <c r="K12" s="351">
        <f>IF(ISNUMBER((Tasas!E12-Datos!BG12)/Datos!BG12),(Tasas!E12-Datos!BG12)/Datos!BG12," - ")</f>
        <v>-0.20885237211767824</v>
      </c>
      <c r="M12" t="e">
        <f>IF(Monitorios="SI",Datos!CE12,0)</f>
        <v>#REF!</v>
      </c>
      <c r="N12" t="e">
        <f>IF(Monitorios="SI",Datos!CF12,0)</f>
        <v>#REF!</v>
      </c>
      <c r="O12" t="e">
        <f>IF(Monitorios="SI",Datos!CG12,0)</f>
        <v>#REF!</v>
      </c>
      <c r="P12" t="e">
        <f>IF(Monitorios="SI",Datos!CH12,0)</f>
        <v>#REF!</v>
      </c>
      <c r="Q12">
        <f>IF(J_V="SI",0,Datos!AG12)</f>
        <v>70</v>
      </c>
      <c r="R12">
        <f>IF(J_V="SI",0,Datos!AH12)</f>
        <v>12</v>
      </c>
      <c r="S12">
        <f>IF(J_V="SI",0,Datos!AI12)</f>
        <v>7</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0.68010075566750627</v>
      </c>
      <c r="I13" s="357">
        <f>IF(ISNUMBER((Tasas!C13-Datos!BE13)/Datos!BE13),(Tasas!C13-Datos!BE13)/Datos!BE13," - ")</f>
        <v>9.4038654513816669E-2</v>
      </c>
      <c r="J13" s="355">
        <f>IF(ISNUMBER((Tasas!D13-Datos!BF13)/Datos!BF13),(Tasas!D13-Datos!BF13)/Datos!BF13," - ")</f>
        <v>0.296536245688788</v>
      </c>
      <c r="K13" s="358">
        <f>IF(ISNUMBER((Tasas!E13-Datos!BG13)/Datos!BG13),(Tasas!E13-Datos!BG13)/Datos!BG13," - ")</f>
        <v>5.3318282368561745E-2</v>
      </c>
      <c r="M13" t="e">
        <f>IF(Monitorios="SI",Datos!CE13,0)</f>
        <v>#REF!</v>
      </c>
      <c r="N13" t="e">
        <f>IF(Monitorios="SI",Datos!CF13,0)</f>
        <v>#REF!</v>
      </c>
      <c r="O13" t="e">
        <f>IF(Monitorios="SI",Datos!CG13,0)</f>
        <v>#REF!</v>
      </c>
      <c r="P13" t="e">
        <f>IF(Monitorios="SI",Datos!CH13,0)</f>
        <v>#REF!</v>
      </c>
      <c r="Q13">
        <f>IF(J_V="SI",0,Datos!AG13)</f>
        <v>258</v>
      </c>
      <c r="R13">
        <f>IF(J_V="SI",0,Datos!AH13)</f>
        <v>183</v>
      </c>
      <c r="S13">
        <f>IF(J_V="SI",0,Datos!AI13)</f>
        <v>130</v>
      </c>
      <c r="T13">
        <f>IF(J_V="SI",0,Datos!AJ13)</f>
        <v>299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0.31058282208588955</v>
      </c>
      <c r="E15" s="348">
        <f>IF(ISNUMBER(
   IF(D_I="SI",(Datos!J15-Datos!T15)/Datos!T15,(Datos!J15+Datos!AD15-(Datos!T15+Datos!AL15))/(Datos!T15+Datos!AL15))
     ),IF(D_I="SI",(Datos!J15-Datos!T15)/Datos!T15,(Datos!J15+Datos!AD15-(Datos!T15+Datos!AL15))/(Datos!T15+Datos!AL15))," - ")</f>
        <v>5.0675675675675678E-3</v>
      </c>
      <c r="F15" s="348">
        <f>IF(ISNUMBER(
   IF(D_I="SI",(Datos!K15-Datos!U15)/Datos!U15,(Datos!K15+Datos!AE15-(Datos!U15+Datos!AM15))/(Datos!U15+Datos!AM15))
     ),IF(D_I="SI",(Datos!K15-Datos!U15)/Datos!U15,(Datos!K15+Datos!AE15-(Datos!U15+Datos!AM15))/(Datos!U15+Datos!AM15))," - ")</f>
        <v>0.36063569682151592</v>
      </c>
      <c r="G15" s="349">
        <f>IF(ISNUMBER(
   IF(D_I="SI",(Datos!L15-Datos!V15)/Datos!V15,(Datos!L15+Datos!AF15-(Datos!V15+Datos!AN15))/(Datos!V15+Datos!AN15))
     ),IF(D_I="SI",(Datos!L15-Datos!V15)/Datos!V15,(Datos!L15+Datos!AF15-(Datos!V15+Datos!AN15))/(Datos!V15+Datos!AN15))," - ")</f>
        <v>0.16489361702127658</v>
      </c>
      <c r="H15" s="230">
        <f>IF(ISNUMBER((Datos!M15-Datos!W15)/Datos!W15),(Datos!M15-Datos!W15)/Datos!W15," - ")</f>
        <v>0.25210084033613445</v>
      </c>
      <c r="I15" s="350">
        <f>IF(ISNUMBER((Tasas!C15-Datos!BE15)/Datos!BE15),(Tasas!C15-Datos!BE15)/Datos!BE15," - ")</f>
        <v>-0.14386075586396749</v>
      </c>
      <c r="J15" s="349">
        <f>IF(ISNUMBER((Tasas!D15-Datos!BF15)/Datos!BF15),(Tasas!D15-Datos!BF15)/Datos!BF15," - ")</f>
        <v>-7.9767756159067407E-2</v>
      </c>
      <c r="K15" s="351">
        <f>IF(ISNUMBER((Tasas!E15-Datos!BG15)/Datos!BG15),(Tasas!E15-Datos!BG15)/Datos!BG15," - ")</f>
        <v>-0.14364077852217141</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-0.75993091537132984</v>
      </c>
      <c r="E16" s="348">
        <f>IF(ISNUMBER(
   IF(D_I="SI",(Datos!J16-Datos!T16)/Datos!T16,(Datos!J16+Datos!AD16-(Datos!T16+Datos!AL16))/(Datos!T16+Datos!AL16))
     ),IF(D_I="SI",(Datos!J16-Datos!T16)/Datos!T16,(Datos!J16+Datos!AD16-(Datos!T16+Datos!AL16))/(Datos!T16+Datos!AL16))," - ")</f>
        <v>-0.65</v>
      </c>
      <c r="F16" s="348">
        <f>IF(ISNUMBER(
   IF(D_I="SI",(Datos!K16-Datos!U16)/Datos!U16,(Datos!K16+Datos!AE16-(Datos!U16+Datos!AM16))/(Datos!U16+Datos!AM16))
     ),IF(D_I="SI",(Datos!K16-Datos!U16)/Datos!U16,(Datos!K16+Datos!AE16-(Datos!U16+Datos!AM16))/(Datos!U16+Datos!AM16))," - ")</f>
        <v>-0.70408163265306123</v>
      </c>
      <c r="G16" s="349">
        <f>IF(ISNUMBER(
   IF(D_I="SI",(Datos!L16-Datos!V16)/Datos!V16,(Datos!L16+Datos!AF16-(Datos!V16+Datos!AN16))/(Datos!V16+Datos!AN16))
     ),IF(D_I="SI",(Datos!L16-Datos!V16)/Datos!V16,(Datos!L16+Datos!AF16-(Datos!V16+Datos!AN16))/(Datos!V16+Datos!AN16))," - ")</f>
        <v>-0.7623318385650224</v>
      </c>
      <c r="H16" s="230">
        <f>IF(ISNUMBER((Datos!M16-Datos!W16)/Datos!W16),(Datos!M16-Datos!W16)/Datos!W16," - ")</f>
        <v>-0.8666666666666667</v>
      </c>
      <c r="I16" s="350">
        <f>IF(ISNUMBER((Tasas!C16-Datos!BE16)/Datos!BE16),(Tasas!C16-Datos!BE16)/Datos!BE16," - ")</f>
        <v>-0.19684552342662745</v>
      </c>
      <c r="J16" s="349">
        <f>IF(ISNUMBER((Tasas!D16-Datos!BF16)/Datos!BF16),(Tasas!D16-Datos!BF16)/Datos!BF16," - ")</f>
        <v>-0.54942528735632179</v>
      </c>
      <c r="K16" s="351">
        <f>IF(ISNUMBER((Tasas!E16-Datos!BG16)/Datos!BG16),(Tasas!E16-Datos!BG16)/Datos!BG16," - ")</f>
        <v>-0.15385030489450102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5.8823529411764705E-2</v>
      </c>
      <c r="E17" s="348">
        <f>IF(ISNUMBER(
   IF(D_I="SI",(Datos!J17-Datos!T17)/Datos!T17,(Datos!J17+Datos!AD17-(Datos!T17+Datos!AL17))/(Datos!T17+Datos!AL17))
     ),IF(D_I="SI",(Datos!J17-Datos!T17)/Datos!T17,(Datos!J17+Datos!AD17-(Datos!T17+Datos!AL17))/(Datos!T17+Datos!AL17))," - ")</f>
        <v>-0.17315175097276264</v>
      </c>
      <c r="F17" s="348">
        <f>IF(ISNUMBER(
   IF(D_I="SI",(Datos!K17-Datos!U17)/Datos!U17,(Datos!K17+Datos!AE17-(Datos!U17+Datos!AM17))/(Datos!U17+Datos!AM17))
     ),IF(D_I="SI",(Datos!K17-Datos!U17)/Datos!U17,(Datos!K17+Datos!AE17-(Datos!U17+Datos!AM17))/(Datos!U17+Datos!AM17))," - ")</f>
        <v>-7.2727272727272724E-2</v>
      </c>
      <c r="G17" s="349">
        <f>IF(ISNUMBER(
   IF(D_I="SI",(Datos!L17-Datos!V17)/Datos!V17,(Datos!L17+Datos!AF17-(Datos!V17+Datos!AN17))/(Datos!V17+Datos!AN17))
     ),IF(D_I="SI",(Datos!L17-Datos!V17)/Datos!V17,(Datos!L17+Datos!AF17-(Datos!V17+Datos!AN17))/(Datos!V17+Datos!AN17))," - ")</f>
        <v>-0.23333333333333334</v>
      </c>
      <c r="H17" s="230">
        <f>IF(ISNUMBER((Datos!M17-Datos!W17)/Datos!W17),(Datos!M17-Datos!W17)/Datos!W17," - ")</f>
        <v>-0.14942528735632185</v>
      </c>
      <c r="I17" s="350">
        <f>IF(ISNUMBER((Tasas!C17-Datos!BE17)/Datos!BE17),(Tasas!C17-Datos!BE17)/Datos!BE17," - ")</f>
        <v>-0.17320261437908502</v>
      </c>
      <c r="J17" s="349">
        <f>IF(ISNUMBER((Tasas!D17-Datos!BF17)/Datos!BF17),(Tasas!D17-Datos!BF17)/Datos!BF17," - ")</f>
        <v>-8.2713545188190227E-2</v>
      </c>
      <c r="K17" s="351">
        <f>IF(ISNUMBER((Tasas!E17-Datos!BG17)/Datos!BG17),(Tasas!E17-Datos!BG17)/Datos!BG17," - ")</f>
        <v>-5.5957767722473663E-2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-1.3372956909361069E-2</v>
      </c>
      <c r="E18" s="354">
        <f>IF(ISNUMBER(
   IF(D_I="SI",(Datos!J18-Datos!T18)/Datos!T18,(Datos!J18+Datos!AD18-(Datos!T18+Datos!AL18))/(Datos!T18+Datos!AL18))
     ),IF(D_I="SI",(Datos!J18-Datos!T18)/Datos!T18,(Datos!J18+Datos!AD18-(Datos!T18+Datos!AL18))/(Datos!T18+Datos!AL18))," - ")</f>
        <v>-6.9397042093287828E-2</v>
      </c>
      <c r="F18" s="354">
        <f>IF(ISNUMBER(
   IF(D_I="SI",(Datos!K18-Datos!U18)/Datos!U18,(Datos!K18+Datos!AE18-(Datos!U18+Datos!AM18))/(Datos!U18+Datos!AM18))
     ),IF(D_I="SI",(Datos!K18-Datos!U18)/Datos!U18,(Datos!K18+Datos!AE18-(Datos!U18+Datos!AM18))/(Datos!U18+Datos!AM18))," - ")</f>
        <v>8.5969738651994504E-2</v>
      </c>
      <c r="G18" s="355">
        <f>IF(ISNUMBER(
   IF(D_I="SI",(Datos!L18-Datos!V18)/Datos!V18,(Datos!L18+Datos!AF18-(Datos!V18+Datos!AN18))/(Datos!V18+Datos!AN18))
     ),IF(D_I="SI",(Datos!L18-Datos!V18)/Datos!V18,(Datos!L18+Datos!AF18-(Datos!V18+Datos!AN18))/(Datos!V18+Datos!AN18))," - ")</f>
        <v>-6.5277777777777782E-2</v>
      </c>
      <c r="H18" s="356">
        <f>IF(ISNUMBER((Datos!M18-Datos!W18)/Datos!W18),(Datos!M18-Datos!W18)/Datos!W18," - ")</f>
        <v>-8.7649402390438252E-2</v>
      </c>
      <c r="I18" s="357">
        <f>IF(ISNUMBER((Tasas!C18-Datos!BE18)/Datos!BE18),(Tasas!C18-Datos!BE18)/Datos!BE18," - ")</f>
        <v>-0.13927415382450212</v>
      </c>
      <c r="J18" s="355">
        <f>IF(ISNUMBER((Tasas!D18-Datos!BF18)/Datos!BF18),(Tasas!D18-Datos!BF18)/Datos!BF18," - ")</f>
        <v>-0.15987475052292402</v>
      </c>
      <c r="K18" s="358">
        <f>IF(ISNUMBER((Tasas!E18-Datos!BG18)/Datos!BG18),(Tasas!E18-Datos!BG18)/Datos!BG18," - ")</f>
        <v>-0.11549036089406838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-1.2366884232222604E-2</v>
      </c>
      <c r="E19" s="363">
        <f>IF(ISNUMBER(
   IF(J_V="SI",(Datos!J19-Datos!T19)/Datos!T19,(Datos!J19+Datos!Z19-(Datos!T19+Datos!AH19))/(Datos!T19+Datos!AH19))
     ),IF(J_V="SI",(Datos!J19-Datos!T19)/Datos!T19,(Datos!J19+Datos!Z19-(Datos!T19+Datos!AH19))/(Datos!T19+Datos!AH19))," - ")</f>
        <v>9.9248120300751887E-3</v>
      </c>
      <c r="F19" s="363">
        <f>IF(ISNUMBER(
   IF(J_V="SI",(Datos!K19-Datos!U19)/Datos!U19,(Datos!K19+Datos!AA19-(Datos!U19+Datos!AI19))/(Datos!U19+Datos!AI19))
     ),IF(J_V="SI",(Datos!K19-Datos!U19)/Datos!U19,(Datos!K19+Datos!AA19-(Datos!U19+Datos!AI19))/(Datos!U19+Datos!AI19))," - ")</f>
        <v>2.4525833878351864E-2</v>
      </c>
      <c r="G19" s="364">
        <f>IF(ISNUMBER(
   IF(J_V="SI",(Datos!L19-Datos!V19)/Datos!V19,(Datos!L19+Datos!AB19-(Datos!V19+Datos!AJ19))/(Datos!V19+Datos!AJ19))
     ),IF(J_V="SI",(Datos!L19-Datos!V19)/Datos!V19,(Datos!L19+Datos!AB19-(Datos!V19+Datos!AJ19))/(Datos!V19+Datos!AJ19))," - ")</f>
        <v>1.3813096862210095E-2</v>
      </c>
      <c r="H19" s="365">
        <f>IF(ISNUMBER((Datos!M19-Datos!W19)/Datos!W19),(Datos!M19-Datos!W19)/Datos!W19," - ")</f>
        <v>0.38271604938271603</v>
      </c>
      <c r="I19" s="362">
        <f>IF(ISNUMBER((Tasas!C19-Datos!BE19)/Datos!BE19),(Tasas!C19-Datos!BE19)/Datos!BE19," - ")</f>
        <v>-1.0456287837651347E-2</v>
      </c>
      <c r="J19" s="363">
        <f>IF(ISNUMBER((Tasas!D19-Datos!BF19)/Datos!BF19),(Tasas!D19-Datos!BF19)/Datos!BF19," - ")</f>
        <v>0.11835154689417074</v>
      </c>
      <c r="K19" s="364">
        <f>IF(ISNUMBER((Tasas!E19-Datos!BG19)/Datos!BG19),(Tasas!E19-Datos!BG19)/Datos!BG19," - ")</f>
        <v>-2.810034255892984E-2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0.68261765645166328</v>
      </c>
      <c r="E21" s="278">
        <f t="shared" si="1"/>
        <v>0.30972830839222187</v>
      </c>
      <c r="F21" s="278">
        <f t="shared" si="1"/>
        <v>0.3994776034235335</v>
      </c>
      <c r="G21" s="279">
        <f t="shared" si="1"/>
        <v>0.63089634360545999</v>
      </c>
      <c r="H21" s="285">
        <f t="shared" si="1"/>
        <v>0.71825262640625998</v>
      </c>
      <c r="I21" s="277">
        <f t="shared" si="1"/>
        <v>0.63598026217201986</v>
      </c>
      <c r="J21" s="278">
        <f t="shared" si="1"/>
        <v>0.8082646493355401</v>
      </c>
      <c r="K21" s="279">
        <f t="shared" si="1"/>
        <v>0.55570928933148456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PxlzqQ56q6wgf7SLFAfZTmK9lX897k2mnkkUEHtksKj+duzZy8lyb369mahvANvhYm4jKMHTx2o7R9eR68nfQ==" saltValue="A2x1xt1ZLsVNlwhSM5Tb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26.270414993306559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171</v>
      </c>
      <c r="D10" s="225">
        <f>IF(ISNUMBER(Datos!I10),Datos!I10," - ")</f>
        <v>171</v>
      </c>
      <c r="E10" s="226">
        <f>IF(ISNUMBER(Datos!J10),Datos!J10," - ")</f>
        <v>48</v>
      </c>
      <c r="F10" s="226">
        <f>IF(ISNUMBER(Datos!K10),Datos!K10," - ")</f>
        <v>11</v>
      </c>
      <c r="G10" s="1034" t="str">
        <f>IF(Datos!E10&lt;&gt;"",Datos!E10,Datos!D10)</f>
        <v>37</v>
      </c>
      <c r="H10" s="227">
        <f>IF(ISNUMBER(Datos!L10),Datos!L10," - ")</f>
        <v>208</v>
      </c>
      <c r="I10" s="1044" t="str">
        <f>IF(ISNUMBER(Datos!AS10/Datos!BM10),Datos!AS10/Datos!BM10," - ")</f>
        <v xml:space="preserve"> - </v>
      </c>
      <c r="J10" s="1045">
        <f>IF(ISNUMBER(Datos!BY10/Datos!CN10),Datos!BY10/Datos!CN10," - ")</f>
        <v>0</v>
      </c>
      <c r="K10" s="230">
        <f t="shared" ref="K10:K12" si="1">IF(ISNUMBER((E10-F10)/C10),(E10-F10)/C10," - ")</f>
        <v>0.21637426900584794</v>
      </c>
      <c r="L10" s="1025">
        <f>IF(ISNUMBER(NºAsuntos!I10/NºAsuntos!G10),(NºAsuntos!I10/NºAsuntos!G10)*11," - ")</f>
        <v>208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33.673469387755098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171</v>
      </c>
      <c r="D13" s="1049">
        <f>SUBTOTAL(9,D9:D12)</f>
        <v>171</v>
      </c>
      <c r="E13" s="1050">
        <f>SUBTOTAL(9,E9:E12)</f>
        <v>48</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1675</v>
      </c>
      <c r="D15" s="225">
        <f>IF(ISNUMBER(IF(D_I="SI",Datos!I15,Datos!I15+Datos!AC15)),IF(D_I="SI",Datos!I15,Datos!I15+Datos!AC15)," - ")</f>
        <v>1709</v>
      </c>
      <c r="E15" s="226">
        <f>IF(ISNUMBER(IF(D_I="SI",Datos!J15,Datos!J15+Datos!AD15)),IF(D_I="SI",Datos!J15,Datos!J15+Datos!AD15)," - ")</f>
        <v>1190</v>
      </c>
      <c r="F15" s="226">
        <f>IF(ISNUMBER(IF(D_I="SI",Datos!K15,Datos!K15+Datos!AE15)),IF(D_I="SI",Datos!K15,Datos!K15+Datos!AE15)," - ")</f>
        <v>1113</v>
      </c>
      <c r="G15" s="1034" t="str">
        <f>IF(Datos!E15&lt;&gt;"",Datos!E15,Datos!D15)</f>
        <v>03</v>
      </c>
      <c r="H15" s="227">
        <f>IF(ISNUMBER(IF(D_I="SI",Datos!L15,Datos!L15+Datos!AF15)),IF(D_I="SI",Datos!L15,Datos!L15+Datos!AF15)," - ")</f>
        <v>1752</v>
      </c>
      <c r="I15" s="1044" t="str">
        <f>IF(ISNUMBER(Datos!AS15/Datos!BM15),Datos!AS15/Datos!BM15," - ")</f>
        <v xml:space="preserve"> - </v>
      </c>
      <c r="J15" s="1045">
        <f>IF(ISNUMBER(Datos!BY15/Datos!CN15),Datos!BY15/Datos!CN15," - ")</f>
        <v>0</v>
      </c>
      <c r="K15" s="230">
        <f t="shared" ref="K15:K17" si="3">IF(ISNUMBER((E15-F15)/C15),(E15-F15)/C15," - ")</f>
        <v>4.5970149253731343E-2</v>
      </c>
      <c r="L15" s="1025">
        <f>IF(ISNUMBER(NºAsuntos!I15/NºAsuntos!G15),(NºAsuntos!I15/NºAsuntos!G15)*11," - ")</f>
        <v>17.315363881401616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143</v>
      </c>
      <c r="D16" s="225">
        <f>IF(ISNUMBER(IF(D_I="SI",Datos!I16,Datos!I16+Datos!AC16)),IF(D_I="SI",Datos!I16,Datos!I16+Datos!AC16)," - ")</f>
        <v>139</v>
      </c>
      <c r="E16" s="226">
        <f>IF(ISNUMBER(IF(D_I="SI",Datos!J16,Datos!J16+Datos!AD16)),IF(D_I="SI",Datos!J16,Datos!J16+Datos!AD16)," - ")</f>
        <v>21</v>
      </c>
      <c r="F16" s="226">
        <f>IF(ISNUMBER(IF(D_I="SI",Datos!K16,Datos!K16+Datos!AE16)),IF(D_I="SI",Datos!K16,Datos!K16+Datos!AE16)," - ")</f>
        <v>58</v>
      </c>
      <c r="G16" s="1034" t="str">
        <f>IF(Datos!E16&lt;&gt;"",Datos!E16,Datos!D16)</f>
        <v>04</v>
      </c>
      <c r="H16" s="227">
        <f>IF(ISNUMBER(IF(D_I="SI",Datos!L16,Datos!L16+Datos!AF16)),IF(D_I="SI",Datos!L16,Datos!L16+Datos!AF16)," - ")</f>
        <v>106</v>
      </c>
      <c r="I16" s="1044" t="str">
        <f>IF(ISNUMBER(Datos!AS16/Datos!BM16),Datos!AS16/Datos!BM16," - ")</f>
        <v xml:space="preserve"> - </v>
      </c>
      <c r="J16" s="1045">
        <f>IF(ISNUMBER(Datos!BY16/Datos!CN16),Datos!BY16/Datos!CN16," - ")</f>
        <v>0</v>
      </c>
      <c r="K16" s="230">
        <f t="shared" si="3"/>
        <v>-0.25874125874125875</v>
      </c>
      <c r="L16" s="1025">
        <f>IF(ISNUMBER(NºAsuntos!I16/NºAsuntos!G16),(NºAsuntos!I16/NºAsuntos!G16)*11," - ")</f>
        <v>20.103448275862071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144</v>
      </c>
      <c r="D17" s="225">
        <f>IF(ISNUMBER(IF(D_I="SI",Datos!I17,Datos!I17+Datos!AC17)),IF(D_I="SI",Datos!I17,Datos!I17+Datos!AC17)," - ")</f>
        <v>144</v>
      </c>
      <c r="E17" s="226">
        <f>IF(ISNUMBER(IF(D_I="SI",Datos!J17,Datos!J17+Datos!AD17)),IF(D_I="SI",Datos!J17,Datos!J17+Datos!AD17)," - ")</f>
        <v>425</v>
      </c>
      <c r="F17" s="226">
        <f>IF(ISNUMBER(IF(D_I="SI",Datos!K17,Datos!K17+Datos!AE17)),IF(D_I="SI",Datos!K17,Datos!K17+Datos!AE17)," - ")</f>
        <v>408</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0.11805555555555555</v>
      </c>
      <c r="L17" s="1025">
        <f>IF(ISNUMBER(NºAsuntos!I17/NºAsuntos!G17),(NºAsuntos!I17/NºAsuntos!G17)*11," - ")</f>
        <v>4.340686274509804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1962</v>
      </c>
      <c r="D18" s="1049">
        <f>SUBTOTAL(9,D15:D17)</f>
        <v>1992</v>
      </c>
      <c r="E18" s="1050">
        <f>SUBTOTAL(9,E15:E17)</f>
        <v>1636</v>
      </c>
      <c r="F18" s="1050">
        <f>SUBTOTAL(9,F15:F17)</f>
        <v>1579</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2133</v>
      </c>
      <c r="D19" s="1071">
        <f>SUBTOTAL(9,D9:D18)</f>
        <v>2163</v>
      </c>
      <c r="E19" s="1072">
        <f>SUBTOTAL(9,E9:E18)</f>
        <v>1684</v>
      </c>
      <c r="F19" s="1072">
        <f>SUBTOTAL(9,F9:F18)</f>
        <v>1590</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C8mLEzxHcnXPprzAsDU6CllNI5nV4tid/aeWb2EwZG8b0yNsz5vY8On8L9BlAwCw5+uoImyMT2v16wat6xqTBA==" saltValue="Y1rbjiUkvrpHM5cTXsoA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SvgIisoePd7FsndkCkUoEpuLvrDtXIqRHdXoOOsDLwp7Tw1EESF0S1bgYNsXEAz/HPQaI2ElFVbs8olZmsgWA==" saltValue="zdlXLxy8UhqhsbnNbC1Y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3206</v>
      </c>
      <c r="J9" s="181">
        <v>1512</v>
      </c>
      <c r="K9" s="181">
        <v>1374</v>
      </c>
      <c r="L9" s="181">
        <v>3344</v>
      </c>
      <c r="M9" s="181">
        <v>634</v>
      </c>
      <c r="N9" s="181">
        <v>435</v>
      </c>
      <c r="O9" s="181">
        <v>650</v>
      </c>
      <c r="P9" s="181">
        <v>405</v>
      </c>
      <c r="Q9" s="181">
        <v>302</v>
      </c>
      <c r="R9" s="181">
        <v>4243</v>
      </c>
      <c r="S9" s="181">
        <v>2817</v>
      </c>
      <c r="T9" s="181">
        <v>1303</v>
      </c>
      <c r="U9" s="181">
        <v>1316</v>
      </c>
      <c r="V9" s="181">
        <v>2804</v>
      </c>
      <c r="W9" s="181">
        <v>340</v>
      </c>
      <c r="X9" s="188">
        <v>492</v>
      </c>
      <c r="Y9" s="191">
        <v>185</v>
      </c>
      <c r="Z9" s="181">
        <v>159</v>
      </c>
      <c r="AA9" s="181">
        <v>120</v>
      </c>
      <c r="AB9" s="181">
        <v>224</v>
      </c>
      <c r="AC9" s="181">
        <v>0</v>
      </c>
      <c r="AD9" s="181">
        <v>0</v>
      </c>
      <c r="AE9" s="181">
        <v>0</v>
      </c>
      <c r="AF9" s="188">
        <v>0</v>
      </c>
      <c r="AG9" s="191">
        <v>188</v>
      </c>
      <c r="AH9" s="181">
        <v>171</v>
      </c>
      <c r="AI9" s="181">
        <v>123</v>
      </c>
      <c r="AJ9" s="192">
        <v>236</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3005</v>
      </c>
      <c r="AZ9" s="123">
        <f>IF(ISNUMBER(IF(J_V="SI",T9,T9+AH9)),IF(J_V="SI",T9,T9+AH9)," - ")</f>
        <v>1474</v>
      </c>
      <c r="BA9" s="124">
        <f>IF(ISNUMBER(IF(J_V="SI",U9,U9+AI9)),IF(J_V="SI",U9,U9+AI9)," - ")</f>
        <v>1439</v>
      </c>
      <c r="BB9" s="124">
        <f>IF(ISNUMBER(IF(J_V="SI",V9,V9+AJ9)),IF(J_V="SI",V9,V9+AJ9)," - ")</f>
        <v>3040</v>
      </c>
      <c r="BC9" s="125">
        <f>IF(ISNUMBER(X9),X9," - ")</f>
        <v>492</v>
      </c>
      <c r="BD9" s="126">
        <f>IF(ISNUMBER(BA9/AZ9),BA9/AZ9," - ")</f>
        <v>0.97625508819538676</v>
      </c>
      <c r="BE9" s="127">
        <f>IF(ISNUMBER(BB9/BA9),BB9/BA9, " - ")</f>
        <v>2.1125781792911744</v>
      </c>
      <c r="BF9" s="127">
        <f>IF(ISNUMBER(BC9/BA9),BC9/BA9, " - ")</f>
        <v>0.34190410006949268</v>
      </c>
      <c r="BG9" s="196">
        <f>IF(ISNUMBER((AY9+AZ9)/BA9),(AY9+AZ9)/BA9," - ")</f>
        <v>3.1125781792911744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171</v>
      </c>
      <c r="J10" s="181">
        <v>48</v>
      </c>
      <c r="K10" s="181">
        <v>11</v>
      </c>
      <c r="L10" s="181">
        <v>208</v>
      </c>
      <c r="M10" s="181">
        <v>11</v>
      </c>
      <c r="N10" s="181">
        <v>0</v>
      </c>
      <c r="O10" s="181">
        <v>0</v>
      </c>
      <c r="P10" s="181">
        <v>0</v>
      </c>
      <c r="Q10" s="181">
        <v>1</v>
      </c>
      <c r="R10" s="181">
        <v>12</v>
      </c>
      <c r="S10" s="181">
        <v>80</v>
      </c>
      <c r="T10" s="181">
        <v>41</v>
      </c>
      <c r="U10" s="181">
        <v>15</v>
      </c>
      <c r="V10" s="181">
        <v>106</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80</v>
      </c>
      <c r="AZ10" s="129">
        <f t="shared" si="0"/>
        <v>41</v>
      </c>
      <c r="BA10" s="129">
        <f t="shared" si="0"/>
        <v>15</v>
      </c>
      <c r="BB10" s="129">
        <f t="shared" si="0"/>
        <v>106</v>
      </c>
      <c r="BC10" s="125">
        <f t="shared" si="0"/>
        <v>5</v>
      </c>
      <c r="BD10" s="126">
        <f>IF(ISNUMBER(BA10/AZ10),BA10/AZ10," - ")</f>
        <v>0.36585365853658536</v>
      </c>
      <c r="BE10" s="127">
        <f>IF(ISNUMBER(BB10/BA10),BB10/BA10, " - ")</f>
        <v>7.0666666666666664</v>
      </c>
      <c r="BF10" s="127">
        <f>IF(ISNUMBER(BC10/BA10),BC10/BA10, " - ")</f>
        <v>0.33333333333333331</v>
      </c>
      <c r="BG10" s="196">
        <f>IF(ISNUMBER((AY10+AZ10)/BA10),(AY10+AZ10)/BA10," - ")</f>
        <v>8.0666666666666664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170</v>
      </c>
      <c r="J12" s="183">
        <v>2</v>
      </c>
      <c r="K12" s="183">
        <v>48</v>
      </c>
      <c r="L12" s="183">
        <v>124</v>
      </c>
      <c r="M12" s="183">
        <v>22</v>
      </c>
      <c r="N12" s="183">
        <v>10</v>
      </c>
      <c r="O12" s="181">
        <v>35</v>
      </c>
      <c r="P12" s="183">
        <v>1</v>
      </c>
      <c r="Q12" s="183">
        <v>187</v>
      </c>
      <c r="R12" s="183">
        <v>2264</v>
      </c>
      <c r="S12" s="183">
        <v>648</v>
      </c>
      <c r="T12" s="183">
        <v>40</v>
      </c>
      <c r="U12" s="183">
        <v>143</v>
      </c>
      <c r="V12" s="183">
        <v>495</v>
      </c>
      <c r="W12" s="183">
        <v>52</v>
      </c>
      <c r="X12" s="189">
        <v>34</v>
      </c>
      <c r="Y12" s="191">
        <v>26</v>
      </c>
      <c r="Z12" s="181">
        <v>1</v>
      </c>
      <c r="AA12" s="181">
        <v>1</v>
      </c>
      <c r="AB12" s="181">
        <v>26</v>
      </c>
      <c r="AC12" s="183">
        <v>0</v>
      </c>
      <c r="AD12" s="183">
        <v>0</v>
      </c>
      <c r="AE12" s="183">
        <v>0</v>
      </c>
      <c r="AF12" s="189">
        <v>0</v>
      </c>
      <c r="AG12" s="202">
        <v>70</v>
      </c>
      <c r="AH12" s="183">
        <v>12</v>
      </c>
      <c r="AI12" s="183">
        <v>7</v>
      </c>
      <c r="AJ12" s="203">
        <v>63</v>
      </c>
      <c r="AK12" s="182">
        <v>0</v>
      </c>
      <c r="AL12" s="183">
        <v>0</v>
      </c>
      <c r="AM12" s="183">
        <v>0</v>
      </c>
      <c r="AN12" s="189">
        <v>0</v>
      </c>
      <c r="AO12" s="259">
        <v>0</v>
      </c>
      <c r="AP12" s="155">
        <v>0</v>
      </c>
      <c r="AQ12" s="155">
        <v>0</v>
      </c>
      <c r="AR12" s="154">
        <v>0</v>
      </c>
      <c r="AS12" s="340" t="s">
        <v>794</v>
      </c>
      <c r="AT12" s="203"/>
      <c r="AU12" s="202"/>
      <c r="AV12" s="203"/>
      <c r="AW12" s="202"/>
      <c r="AX12" s="203"/>
      <c r="AY12" s="126">
        <f t="shared" si="1"/>
        <v>718</v>
      </c>
      <c r="AZ12" s="127">
        <f t="shared" si="1"/>
        <v>52</v>
      </c>
      <c r="BA12" s="127">
        <f t="shared" si="1"/>
        <v>150</v>
      </c>
      <c r="BB12" s="127">
        <f t="shared" si="1"/>
        <v>558</v>
      </c>
      <c r="BC12" s="125">
        <f>IF(ISNUMBER(X12),X12," - ")</f>
        <v>34</v>
      </c>
      <c r="BD12" s="126">
        <f t="shared" si="2"/>
        <v>2.8846153846153846</v>
      </c>
      <c r="BE12" s="127">
        <f t="shared" si="3"/>
        <v>3.72</v>
      </c>
      <c r="BF12" s="127">
        <f t="shared" si="4"/>
        <v>0.22666666666666666</v>
      </c>
      <c r="BG12" s="196">
        <f t="shared" si="5"/>
        <v>5.1333333333333337</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3547</v>
      </c>
      <c r="J13" s="184">
        <f t="shared" si="6"/>
        <v>1562</v>
      </c>
      <c r="K13" s="184">
        <f t="shared" si="6"/>
        <v>1433</v>
      </c>
      <c r="L13" s="184">
        <f t="shared" si="6"/>
        <v>3676</v>
      </c>
      <c r="M13" s="184">
        <f t="shared" si="6"/>
        <v>667</v>
      </c>
      <c r="N13" s="184">
        <f t="shared" si="6"/>
        <v>445</v>
      </c>
      <c r="O13" s="184">
        <f t="shared" si="6"/>
        <v>685</v>
      </c>
      <c r="P13" s="184">
        <f t="shared" si="6"/>
        <v>406</v>
      </c>
      <c r="Q13" s="184">
        <f t="shared" si="6"/>
        <v>490</v>
      </c>
      <c r="R13" s="184">
        <f t="shared" si="6"/>
        <v>6519</v>
      </c>
      <c r="S13" s="184">
        <f t="shared" si="6"/>
        <v>3545</v>
      </c>
      <c r="T13" s="184">
        <f t="shared" si="6"/>
        <v>1384</v>
      </c>
      <c r="U13" s="184">
        <f t="shared" si="6"/>
        <v>1474</v>
      </c>
      <c r="V13" s="184">
        <f t="shared" si="6"/>
        <v>3405</v>
      </c>
      <c r="W13" s="184">
        <f t="shared" si="6"/>
        <v>397</v>
      </c>
      <c r="X13" s="184">
        <f t="shared" si="6"/>
        <v>526</v>
      </c>
      <c r="Y13" s="184">
        <f t="shared" si="6"/>
        <v>211</v>
      </c>
      <c r="Z13" s="184">
        <f t="shared" si="6"/>
        <v>160</v>
      </c>
      <c r="AA13" s="184">
        <f t="shared" si="6"/>
        <v>121</v>
      </c>
      <c r="AB13" s="184">
        <f t="shared" si="6"/>
        <v>250</v>
      </c>
      <c r="AC13" s="184">
        <f t="shared" si="6"/>
        <v>0</v>
      </c>
      <c r="AD13" s="184">
        <f t="shared" si="6"/>
        <v>0</v>
      </c>
      <c r="AE13" s="184">
        <f t="shared" si="6"/>
        <v>0</v>
      </c>
      <c r="AF13" s="184">
        <f>SUBTOTAL(9,AF9:AF12)</f>
        <v>0</v>
      </c>
      <c r="AG13" s="184">
        <f t="shared" ref="AG13:AT13" si="7">SUBTOTAL(9,AG8:AG12)</f>
        <v>258</v>
      </c>
      <c r="AH13" s="184">
        <f t="shared" si="7"/>
        <v>183</v>
      </c>
      <c r="AI13" s="184">
        <f t="shared" si="7"/>
        <v>130</v>
      </c>
      <c r="AJ13" s="184">
        <f t="shared" si="7"/>
        <v>299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3803</v>
      </c>
      <c r="AZ13" s="184">
        <f>SUBTOTAL(9,AZ8:AZ12)</f>
        <v>1567</v>
      </c>
      <c r="BA13" s="184">
        <f>SUBTOTAL(9,BA8:BA12)</f>
        <v>1604</v>
      </c>
      <c r="BB13" s="184">
        <f>SUBTOTAL(9,BB8:BB12)</f>
        <v>3704</v>
      </c>
      <c r="BC13" s="184">
        <f>SUBTOTAL(9,BC8:BC12)</f>
        <v>531</v>
      </c>
      <c r="BD13" s="205">
        <f>IF(ISNUMBER(BA13/AZ13),BA13/AZ13," - ")</f>
        <v>1.0236119974473517</v>
      </c>
      <c r="BE13" s="206">
        <f>IF(ISNUMBER(BB13/BA13),BB13/BA13, " - ")</f>
        <v>2.309226932668329</v>
      </c>
      <c r="BF13" s="206">
        <f>IF(ISNUMBER(BC13/BA13),BC13/BA13, " - ")</f>
        <v>0.33104738154613467</v>
      </c>
      <c r="BG13" s="207">
        <f>IF(ISNUMBER((AY13+AZ13)/BA13),(AY13+AZ13)/BA13," - ")</f>
        <v>3.3478802992518704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1709</v>
      </c>
      <c r="J15" s="183">
        <v>1190</v>
      </c>
      <c r="K15" s="183">
        <v>1113</v>
      </c>
      <c r="L15" s="183">
        <v>1752</v>
      </c>
      <c r="M15" s="183">
        <v>149</v>
      </c>
      <c r="N15" s="183">
        <v>664</v>
      </c>
      <c r="O15" s="181">
        <v>25</v>
      </c>
      <c r="P15" s="183">
        <v>68</v>
      </c>
      <c r="Q15" s="183">
        <v>39</v>
      </c>
      <c r="R15" s="183">
        <v>250</v>
      </c>
      <c r="S15" s="183">
        <v>1304</v>
      </c>
      <c r="T15" s="183">
        <v>1184</v>
      </c>
      <c r="U15" s="183">
        <v>818</v>
      </c>
      <c r="V15" s="183">
        <v>1504</v>
      </c>
      <c r="W15" s="183">
        <v>119</v>
      </c>
      <c r="X15" s="189">
        <v>460</v>
      </c>
      <c r="Y15" s="202">
        <v>0</v>
      </c>
      <c r="Z15" s="183">
        <v>0</v>
      </c>
      <c r="AA15" s="183">
        <v>0</v>
      </c>
      <c r="AB15" s="183">
        <v>0</v>
      </c>
      <c r="AC15" s="183">
        <v>3</v>
      </c>
      <c r="AD15" s="183">
        <v>12</v>
      </c>
      <c r="AE15" s="183">
        <v>10</v>
      </c>
      <c r="AF15" s="189">
        <v>5</v>
      </c>
      <c r="AG15" s="202">
        <v>0</v>
      </c>
      <c r="AH15" s="183">
        <v>0</v>
      </c>
      <c r="AI15" s="183">
        <v>0</v>
      </c>
      <c r="AJ15" s="203">
        <v>0</v>
      </c>
      <c r="AK15" s="182">
        <v>9</v>
      </c>
      <c r="AL15" s="183">
        <v>21</v>
      </c>
      <c r="AM15" s="183">
        <v>21</v>
      </c>
      <c r="AN15" s="189">
        <v>9</v>
      </c>
      <c r="AO15" s="259">
        <v>3</v>
      </c>
      <c r="AP15" s="155">
        <v>3</v>
      </c>
      <c r="AQ15" s="155">
        <v>3</v>
      </c>
      <c r="AR15" s="155">
        <v>3</v>
      </c>
      <c r="AS15" s="340" t="s">
        <v>519</v>
      </c>
      <c r="AT15" s="203" t="s">
        <v>326</v>
      </c>
      <c r="AU15" s="202"/>
      <c r="AV15" s="203"/>
      <c r="AW15" s="202"/>
      <c r="AX15" s="203"/>
      <c r="AY15" s="128">
        <f t="shared" ref="AY15:BB16" si="9">IF(ISNUMBER(IF(D_I="SI",S15,S15+AK15)),IF(D_I="SI",S15,S15+AK15)," - ")</f>
        <v>1304</v>
      </c>
      <c r="AZ15" s="129">
        <f t="shared" si="9"/>
        <v>1184</v>
      </c>
      <c r="BA15" s="129">
        <f t="shared" si="9"/>
        <v>818</v>
      </c>
      <c r="BB15" s="129">
        <f t="shared" si="9"/>
        <v>1504</v>
      </c>
      <c r="BC15" s="125">
        <f>IF(ISNUMBER(W15),W15," - ")</f>
        <v>119</v>
      </c>
      <c r="BD15" s="126">
        <f>IF(ISNUMBER(BA15/AZ15),BA15/AZ15," - ")</f>
        <v>0.6908783783783784</v>
      </c>
      <c r="BE15" s="127">
        <f>IF(ISNUMBER(BB15/BA15),BB15/BA15, " - ")</f>
        <v>1.8386308068459658</v>
      </c>
      <c r="BF15" s="127">
        <f>IF(ISNUMBER(BC15/BA15),BC15/BA15, " - ")</f>
        <v>0.14547677261613692</v>
      </c>
      <c r="BG15" s="196">
        <f t="shared" ref="BG15:BG16" si="10">IF(ISNUMBER((AY15+AZ15)/BA15),(AY15+AZ15)/BA15," - ")</f>
        <v>3.0415647921760391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139</v>
      </c>
      <c r="J16" s="183">
        <v>21</v>
      </c>
      <c r="K16" s="183">
        <v>58</v>
      </c>
      <c r="L16" s="183">
        <v>106</v>
      </c>
      <c r="M16" s="183">
        <v>6</v>
      </c>
      <c r="N16" s="183">
        <v>18</v>
      </c>
      <c r="O16" s="181">
        <v>0</v>
      </c>
      <c r="P16" s="183">
        <v>4</v>
      </c>
      <c r="Q16" s="183">
        <v>6</v>
      </c>
      <c r="R16" s="183">
        <v>40</v>
      </c>
      <c r="S16" s="183">
        <v>579</v>
      </c>
      <c r="T16" s="183">
        <v>60</v>
      </c>
      <c r="U16" s="183">
        <v>196</v>
      </c>
      <c r="V16" s="183">
        <v>446</v>
      </c>
      <c r="W16" s="183">
        <v>45</v>
      </c>
      <c r="X16" s="189">
        <v>74</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0</v>
      </c>
      <c r="AN16" s="189">
        <v>2</v>
      </c>
      <c r="AO16" s="259">
        <v>0</v>
      </c>
      <c r="AP16" s="155">
        <v>0</v>
      </c>
      <c r="AQ16" s="155">
        <v>0</v>
      </c>
      <c r="AR16" s="155">
        <v>0</v>
      </c>
      <c r="AS16" s="340" t="s">
        <v>481</v>
      </c>
      <c r="AT16" s="203"/>
      <c r="AU16" s="202"/>
      <c r="AV16" s="203"/>
      <c r="AW16" s="202"/>
      <c r="AX16" s="203"/>
      <c r="AY16" s="126">
        <f t="shared" si="9"/>
        <v>579</v>
      </c>
      <c r="AZ16" s="127">
        <f t="shared" si="9"/>
        <v>60</v>
      </c>
      <c r="BA16" s="127">
        <f t="shared" si="9"/>
        <v>196</v>
      </c>
      <c r="BB16" s="127">
        <f t="shared" si="9"/>
        <v>446</v>
      </c>
      <c r="BC16" s="125">
        <f>IF(ISNUMBER(W16),W16," - ")</f>
        <v>45</v>
      </c>
      <c r="BD16" s="126">
        <f t="shared" ref="BD16" si="11">IF(ISNUMBER(BA16/AZ16),BA16/AZ16," - ")</f>
        <v>3.2666666666666666</v>
      </c>
      <c r="BE16" s="127">
        <f t="shared" ref="BE16" si="12">IF(ISNUMBER(BB16/BA16),BB16/BA16, " - ")</f>
        <v>2.2755102040816326</v>
      </c>
      <c r="BF16" s="127">
        <f t="shared" ref="BF16" si="13">IF(ISNUMBER(BC16/BA16),BC16/BA16, " - ")</f>
        <v>0.22959183673469388</v>
      </c>
      <c r="BG16" s="196">
        <f t="shared" si="10"/>
        <v>3.260204081632653</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144</v>
      </c>
      <c r="J17" s="183">
        <v>425</v>
      </c>
      <c r="K17" s="183">
        <v>408</v>
      </c>
      <c r="L17" s="183">
        <v>161</v>
      </c>
      <c r="M17" s="183">
        <v>74</v>
      </c>
      <c r="N17" s="183">
        <v>140</v>
      </c>
      <c r="O17" s="183">
        <v>0</v>
      </c>
      <c r="P17" s="183">
        <v>0</v>
      </c>
      <c r="Q17" s="183">
        <v>0</v>
      </c>
      <c r="R17" s="183">
        <v>0</v>
      </c>
      <c r="S17" s="183">
        <v>136</v>
      </c>
      <c r="T17" s="183">
        <v>514</v>
      </c>
      <c r="U17" s="183">
        <v>440</v>
      </c>
      <c r="V17" s="183">
        <v>210</v>
      </c>
      <c r="W17" s="183">
        <v>87</v>
      </c>
      <c r="X17" s="189">
        <v>183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136</v>
      </c>
      <c r="AZ17" s="129">
        <f t="shared" si="14"/>
        <v>514</v>
      </c>
      <c r="BA17" s="129">
        <f t="shared" si="14"/>
        <v>440</v>
      </c>
      <c r="BB17" s="129">
        <f t="shared" si="14"/>
        <v>210</v>
      </c>
      <c r="BC17" s="125">
        <f>IF(ISNUMBER(W17),W17," - ")</f>
        <v>87</v>
      </c>
      <c r="BD17" s="126">
        <f>IF(ISNUMBER(BA17/AZ17),BA17/AZ17," - ")</f>
        <v>0.85603112840466922</v>
      </c>
      <c r="BE17" s="127">
        <f>IF(ISNUMBER(BB17/BA17),BB17/BA17, " - ")</f>
        <v>0.47727272727272729</v>
      </c>
      <c r="BF17" s="127">
        <f>IF(ISNUMBER(BC17/BA17),BC17/BA17, " - ")</f>
        <v>0.19772727272727272</v>
      </c>
      <c r="BG17" s="196">
        <f>IF(ISNUMBER((AY17+AZ17)/BA17),(AY17+AZ17)/BA17," - ")</f>
        <v>1.4772727272727273</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1992</v>
      </c>
      <c r="J18" s="184">
        <f t="shared" si="15"/>
        <v>1636</v>
      </c>
      <c r="K18" s="184">
        <f t="shared" si="15"/>
        <v>1579</v>
      </c>
      <c r="L18" s="184">
        <f t="shared" si="15"/>
        <v>2019</v>
      </c>
      <c r="M18" s="184">
        <f t="shared" si="15"/>
        <v>229</v>
      </c>
      <c r="N18" s="184">
        <f t="shared" si="15"/>
        <v>822</v>
      </c>
      <c r="O18" s="184">
        <f t="shared" si="15"/>
        <v>25</v>
      </c>
      <c r="P18" s="184">
        <f t="shared" si="15"/>
        <v>72</v>
      </c>
      <c r="Q18" s="184">
        <f t="shared" si="15"/>
        <v>45</v>
      </c>
      <c r="R18" s="184">
        <f t="shared" si="15"/>
        <v>290</v>
      </c>
      <c r="S18" s="184">
        <f t="shared" si="15"/>
        <v>2019</v>
      </c>
      <c r="T18" s="184">
        <f t="shared" si="15"/>
        <v>1758</v>
      </c>
      <c r="U18" s="184">
        <f t="shared" si="15"/>
        <v>1454</v>
      </c>
      <c r="V18" s="184">
        <f t="shared" si="15"/>
        <v>2160</v>
      </c>
      <c r="W18" s="184">
        <f t="shared" si="15"/>
        <v>251</v>
      </c>
      <c r="X18" s="184">
        <f t="shared" si="15"/>
        <v>717</v>
      </c>
      <c r="Y18" s="184">
        <f t="shared" si="15"/>
        <v>0</v>
      </c>
      <c r="Z18" s="184">
        <f t="shared" si="15"/>
        <v>0</v>
      </c>
      <c r="AA18" s="184">
        <f t="shared" si="15"/>
        <v>0</v>
      </c>
      <c r="AB18" s="184">
        <f t="shared" si="15"/>
        <v>0</v>
      </c>
      <c r="AC18" s="184">
        <f t="shared" si="15"/>
        <v>3</v>
      </c>
      <c r="AD18" s="184">
        <f t="shared" si="15"/>
        <v>12</v>
      </c>
      <c r="AE18" s="184">
        <f t="shared" si="15"/>
        <v>10</v>
      </c>
      <c r="AF18" s="184">
        <f t="shared" si="15"/>
        <v>5</v>
      </c>
      <c r="AG18" s="184">
        <f t="shared" si="15"/>
        <v>0</v>
      </c>
      <c r="AH18" s="184">
        <f t="shared" si="15"/>
        <v>0</v>
      </c>
      <c r="AI18" s="184">
        <f t="shared" si="15"/>
        <v>0</v>
      </c>
      <c r="AJ18" s="184">
        <f t="shared" si="15"/>
        <v>0</v>
      </c>
      <c r="AK18" s="184">
        <f t="shared" si="15"/>
        <v>11</v>
      </c>
      <c r="AL18" s="184">
        <f t="shared" si="15"/>
        <v>21</v>
      </c>
      <c r="AM18" s="184">
        <f t="shared" si="15"/>
        <v>21</v>
      </c>
      <c r="AN18" s="184">
        <f t="shared" si="15"/>
        <v>11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2019</v>
      </c>
      <c r="AZ18" s="184">
        <f>SUBTOTAL(9,AZ14:AZ17)</f>
        <v>1758</v>
      </c>
      <c r="BA18" s="184">
        <f>SUBTOTAL(9,BA14:BA17)</f>
        <v>1454</v>
      </c>
      <c r="BB18" s="184">
        <f>SUBTOTAL(9,BB14:BB17)</f>
        <v>2160</v>
      </c>
      <c r="BC18" s="184">
        <f>SUBTOTAL(9,BC14:BC17)</f>
        <v>251</v>
      </c>
      <c r="BD18" s="205">
        <f>IF(ISNUMBER(BA18/AZ18),BA18/AZ18," - ")</f>
        <v>0.82707622298065986</v>
      </c>
      <c r="BE18" s="206">
        <f>IF(ISNUMBER(BB18/BA18),BB18/BA18, " - ")</f>
        <v>1.4855570839064649</v>
      </c>
      <c r="BF18" s="206">
        <f>IF(ISNUMBER(BC18/BA18),BC18/BA18, " - ")</f>
        <v>0.17262723521320494</v>
      </c>
      <c r="BG18" s="207">
        <f>IF(ISNUMBER((AY18+AZ18)/BA18),(AY18+AZ18)/BA18," - ")</f>
        <v>2.5976616231086656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5539</v>
      </c>
      <c r="J19" s="134">
        <f t="shared" si="18"/>
        <v>3198</v>
      </c>
      <c r="K19" s="134">
        <f t="shared" si="18"/>
        <v>3012</v>
      </c>
      <c r="L19" s="134">
        <f t="shared" si="18"/>
        <v>5695</v>
      </c>
      <c r="M19" s="134">
        <f t="shared" si="18"/>
        <v>896</v>
      </c>
      <c r="N19" s="134">
        <f t="shared" si="18"/>
        <v>1267</v>
      </c>
      <c r="O19" s="134">
        <f t="shared" si="18"/>
        <v>710</v>
      </c>
      <c r="P19" s="134">
        <f t="shared" si="18"/>
        <v>478</v>
      </c>
      <c r="Q19" s="134">
        <f t="shared" si="18"/>
        <v>535</v>
      </c>
      <c r="R19" s="134">
        <f t="shared" si="18"/>
        <v>6809</v>
      </c>
      <c r="S19" s="134">
        <f t="shared" si="18"/>
        <v>5564</v>
      </c>
      <c r="T19" s="134">
        <f t="shared" si="18"/>
        <v>3142</v>
      </c>
      <c r="U19" s="134">
        <f t="shared" si="18"/>
        <v>2928</v>
      </c>
      <c r="V19" s="134">
        <f t="shared" si="18"/>
        <v>5565</v>
      </c>
      <c r="W19" s="134">
        <f t="shared" si="18"/>
        <v>648</v>
      </c>
      <c r="X19" s="134">
        <f t="shared" si="18"/>
        <v>1243</v>
      </c>
      <c r="Y19" s="134">
        <f t="shared" si="18"/>
        <v>211</v>
      </c>
      <c r="Z19" s="134">
        <f t="shared" si="18"/>
        <v>160</v>
      </c>
      <c r="AA19" s="134">
        <f t="shared" si="18"/>
        <v>121</v>
      </c>
      <c r="AB19" s="134">
        <f t="shared" si="18"/>
        <v>250</v>
      </c>
      <c r="AC19" s="134">
        <f t="shared" si="18"/>
        <v>3</v>
      </c>
      <c r="AD19" s="134">
        <f t="shared" si="18"/>
        <v>12</v>
      </c>
      <c r="AE19" s="134">
        <f t="shared" si="18"/>
        <v>10</v>
      </c>
      <c r="AF19" s="134">
        <f t="shared" si="18"/>
        <v>5</v>
      </c>
      <c r="AG19" s="134">
        <f t="shared" si="18"/>
        <v>258</v>
      </c>
      <c r="AH19" s="134">
        <f t="shared" si="18"/>
        <v>183</v>
      </c>
      <c r="AI19" s="134">
        <f t="shared" si="18"/>
        <v>130</v>
      </c>
      <c r="AJ19" s="134">
        <f t="shared" si="18"/>
        <v>299</v>
      </c>
      <c r="AK19" s="134">
        <f t="shared" si="18"/>
        <v>11</v>
      </c>
      <c r="AL19" s="134">
        <f t="shared" si="18"/>
        <v>21</v>
      </c>
      <c r="AM19" s="134">
        <f t="shared" si="18"/>
        <v>21</v>
      </c>
      <c r="AN19" s="210">
        <f t="shared" si="18"/>
        <v>11</v>
      </c>
      <c r="AO19" s="211">
        <v>10</v>
      </c>
      <c r="AP19" s="211">
        <v>9</v>
      </c>
      <c r="AQ19" s="211">
        <v>9</v>
      </c>
      <c r="AR19" s="211">
        <v>9</v>
      </c>
      <c r="AS19" s="153">
        <f t="shared" si="18"/>
        <v>0</v>
      </c>
      <c r="AT19" s="153">
        <f t="shared" si="18"/>
        <v>0</v>
      </c>
      <c r="AU19" s="211"/>
      <c r="AV19" s="212"/>
      <c r="AW19" s="211"/>
      <c r="AX19" s="212"/>
      <c r="AY19" s="133">
        <f>SUBTOTAL(9,AY9:AY18)</f>
        <v>5822</v>
      </c>
      <c r="AZ19" s="134">
        <f>SUBTOTAL(9,AZ9:AZ18)</f>
        <v>3325</v>
      </c>
      <c r="BA19" s="134">
        <f>SUBTOTAL(9,BA9:BA18)</f>
        <v>3058</v>
      </c>
      <c r="BB19" s="134">
        <f>SUBTOTAL(9,BB9:BB18)</f>
        <v>5864</v>
      </c>
      <c r="BC19" s="135">
        <f>SUBTOTAL(9,BC9:BC18)</f>
        <v>782</v>
      </c>
      <c r="BD19" s="213">
        <f>IF(ISNUMBER(BA19/AZ19),BA19/AZ19," - ")</f>
        <v>0.91969924812030079</v>
      </c>
      <c r="BE19" s="210">
        <f>IF(ISNUMBER(BB19/BA19),BB19/BA19, " - ")</f>
        <v>1.9175931981687377</v>
      </c>
      <c r="BF19" s="210">
        <f>IF(ISNUMBER(BC19/BA19),BC19/BA19, " - ")</f>
        <v>0.25572269457161545</v>
      </c>
      <c r="BG19" s="135">
        <f>IF(ISNUMBER((AY19+AZ19)/BA19),(AY19+AZ19)/BA19," - ")</f>
        <v>2.9911706998037935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izymWbOrrdoAvlhebXTct1ebzyF3Rl8u7P7ZhH9reVvp3nyLjEFHB6cBPMTnS7/uV3ZUNS78Bb5evFFSCY5A==" saltValue="7ylUL7zWj69+n6Qhbijx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YtmOtYH0HH2u/guGjsdLhgDdVyYrL3SlmGUk+K4gglH08TSUnTg/xHVzTkKFJsC9et/c3tJtOWQBS2B5PgUA==" saltValue="vSKp60IkVcYmcYxbkhff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159</v>
      </c>
      <c r="O9" s="334"/>
      <c r="P9" s="334"/>
      <c r="Q9" s="226">
        <f>IF(ISNUMBER(Datos!P9),Datos!P9,0)</f>
        <v>405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302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224</v>
      </c>
      <c r="AI9" s="334" t="str">
        <f>IF(ISNUMBER(Datos!CD9),Datos!CD9,"-")</f>
        <v>-</v>
      </c>
      <c r="AJ9" s="334" t="str">
        <f>IF(ISNUMBER(Datos!EN9),Datos!EN9," - ")</f>
        <v xml:space="preserve"> - </v>
      </c>
      <c r="AK9" s="334"/>
      <c r="AL9" s="479"/>
      <c r="AM9" s="335">
        <f>IF(ISNUMBER(Datos!R9),Datos!R9," - ")</f>
        <v>4243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634</v>
      </c>
      <c r="BD9" s="229">
        <f>IF(ISNUMBER(Datos!N9),Datos!N9," - ")</f>
        <v>435</v>
      </c>
      <c r="BE9" s="229" t="str">
        <f>IF(ISNUMBER(Datos!BW9),Datos!BW9," - ")</f>
        <v xml:space="preserve"> - </v>
      </c>
      <c r="BF9" s="228" t="str">
        <f>IF(ISNUMBER(Datos!BX9),Datos!BX9," - ")</f>
        <v xml:space="preserve"> - </v>
      </c>
      <c r="BG9" s="243">
        <f>IF(ISNUMBER(IF(J_V="SI",Datos!K9/Datos!J9,(Datos!K9+Datos!AA9)/(Datos!J9+Datos!Z9))),IF(J_V="SI",Datos!K9/Datos!J9,(Datos!K9+Datos!AA9)/(Datos!J9+Datos!Z9))," - ")</f>
        <v>0.89407540394973073</v>
      </c>
      <c r="BH9" s="260">
        <f>IF(ISNUMBER(((IF(J_V="SI",Datos!L9/Datos!K9,(Datos!L9+Datos!AB9)/(Datos!K9+Datos!AA9)))*11)/factor_trimestre),((IF(J_V="SI",Datos!L9/Datos!K9,(Datos!L9+Datos!AB9)/(Datos!K9+Datos!AA9)))*11)/factor_trimestre," - ")</f>
        <v>4.7764390896921016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2.4879227053140097E-2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171</v>
      </c>
      <c r="G10" s="333">
        <f>IF(ISNUMBER(Datos!I10),Datos!I10," - ")</f>
        <v>171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1</v>
      </c>
      <c r="AD10" s="334"/>
      <c r="AE10" s="484"/>
      <c r="AF10" s="332">
        <f>IF(ISNUMBER(Datos!L10),Datos!L10,"-")</f>
        <v>208</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f>IF(ISNUMBER(Datos!K10/Datos!J10),Datos!K10/Datos!J10," - ")</f>
        <v>0.22916666666666666</v>
      </c>
      <c r="BH10" s="260">
        <f>IF(ISNUMBER(((Datos!L10/Datos!K10)*11)/factor_trimestre),((Datos!L10/Datos!K10)*11)/factor_trimestre," - ")</f>
        <v>37.81818181818182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2264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v>
      </c>
      <c r="BD12" s="229">
        <f>IF(ISNUMBER(Datos!N12),Datos!N12," - ")</f>
        <v>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16.333333333333332</v>
      </c>
      <c r="BH12" s="260">
        <f>IF(ISNUMBER(((IF(J_V="SI",Datos!L12/Datos!K12,(Datos!L12+Datos!AB12)/(Datos!K12+Datos!AA12)))*11)/factor_trimestre),((IF(J_V="SI",Datos!L12/Datos!K12,(Datos!L12+Datos!AB12)/(Datos!K12+Datos!AA12)))*11)/factor_trimestre," - ")</f>
        <v>6.1224489795918364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-7.591836734693877E-2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171</v>
      </c>
      <c r="G13" s="898">
        <f t="shared" si="0"/>
        <v>171</v>
      </c>
      <c r="H13" s="899">
        <f t="shared" si="0"/>
        <v>0</v>
      </c>
      <c r="I13" s="898">
        <f t="shared" si="0"/>
        <v>0</v>
      </c>
      <c r="J13" s="867">
        <f t="shared" si="0"/>
        <v>0</v>
      </c>
      <c r="K13" s="867">
        <f t="shared" si="0"/>
        <v>0</v>
      </c>
      <c r="L13" s="899">
        <f t="shared" si="0"/>
        <v>0</v>
      </c>
      <c r="M13" s="899">
        <f t="shared" si="0"/>
        <v>0</v>
      </c>
      <c r="N13" s="899">
        <f t="shared" si="0"/>
        <v>160</v>
      </c>
      <c r="O13" s="900">
        <f t="shared" si="0"/>
        <v>0</v>
      </c>
      <c r="P13" s="900">
        <f t="shared" si="0"/>
        <v>0</v>
      </c>
      <c r="Q13" s="899">
        <f t="shared" si="0"/>
        <v>406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490</v>
      </c>
      <c r="AD13" s="899">
        <f t="shared" si="1"/>
        <v>0</v>
      </c>
      <c r="AE13" s="899">
        <f t="shared" si="1"/>
        <v>0</v>
      </c>
      <c r="AF13" s="899">
        <f t="shared" si="1"/>
        <v>208</v>
      </c>
      <c r="AG13" s="899">
        <f t="shared" si="1"/>
        <v>0</v>
      </c>
      <c r="AH13" s="899">
        <f t="shared" si="1"/>
        <v>250</v>
      </c>
      <c r="AI13" s="899">
        <f t="shared" si="1"/>
        <v>0</v>
      </c>
      <c r="AJ13" s="899">
        <f t="shared" si="1"/>
        <v>0</v>
      </c>
      <c r="AK13" s="899">
        <f t="shared" si="1"/>
        <v>0</v>
      </c>
      <c r="AL13" s="899">
        <f t="shared" si="1"/>
        <v>0</v>
      </c>
      <c r="AM13" s="899">
        <f t="shared" si="1"/>
        <v>6519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667</v>
      </c>
      <c r="BD13" s="899">
        <f t="shared" si="1"/>
        <v>445</v>
      </c>
      <c r="BE13" s="899">
        <f t="shared" si="1"/>
        <v>0</v>
      </c>
      <c r="BF13" s="899">
        <f t="shared" si="1"/>
        <v>0</v>
      </c>
      <c r="BG13" s="899">
        <f>IF(ISNUMBER(Datos!K13/Datos!J13),Datos!K13/Datos!J13," - ")</f>
        <v>0.9174135723431498</v>
      </c>
      <c r="BH13" s="903">
        <f>IF(ISNUMBER(((Datos!L13/Datos!K13)*11)/factor_trimestre),((Datos!L13/Datos!K13)*11)/factor_trimestre," - ")</f>
        <v>5.1304954640614095</v>
      </c>
      <c r="BI13" s="899">
        <f>IF(ISNUMBER('Resol  Asuntos'!D13/NºAsuntos!G13),'Resol  Asuntos'!D13/NºAsuntos!G13," - ")</f>
        <v>0.42921492921492921</v>
      </c>
      <c r="BJ13" s="899" t="str">
        <f>IF(ISNUMBER(Datos!CI13/Datos!CJ13),Datos!CI13/Datos!CJ13," - ")</f>
        <v xml:space="preserve"> - </v>
      </c>
      <c r="BK13" s="899">
        <f>SUBTOTAL(9,BK8:BK12)</f>
        <v>0</v>
      </c>
      <c r="BL13" s="899">
        <f>IF(ISNUMBER((I13-AB13+L13)/(F13)),(I13-AB13+L13)/(F13)," - ")</f>
        <v>-6.4327485380116955E-2</v>
      </c>
      <c r="BM13" s="904">
        <f>SUBTOTAL(9,BM9:BM12)</f>
        <v>-0.12796221721687562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1675</v>
      </c>
      <c r="G15" s="598">
        <f>IF(ISNUMBER(IF(D_I="SI",Datos!I15,Datos!I15+Datos!AC15)),IF(D_I="SI",Datos!I15,Datos!I15+Datos!AC15)," - ")</f>
        <v>1709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1113</v>
      </c>
      <c r="AC15" s="226">
        <f>IF(ISNUMBER(Datos!Q15),Datos!Q15," - ")</f>
        <v>39</v>
      </c>
      <c r="AD15" s="334"/>
      <c r="AE15" s="484"/>
      <c r="AF15" s="596">
        <f>IF(ISNUMBER(IF(D_I="SI",Datos!L15,Datos!L15+Datos!AF15)),IF(D_I="SI",Datos!L15,Datos!L15+Datos!AF15)," - ")</f>
        <v>1752</v>
      </c>
      <c r="AG15" s="334"/>
      <c r="AH15" s="334"/>
      <c r="AI15" s="334"/>
      <c r="AJ15" s="334"/>
      <c r="AK15" s="334"/>
      <c r="AL15" s="479"/>
      <c r="AM15" s="335">
        <f>IF(ISNUMBER(Datos!R15),Datos!R15," - ")</f>
        <v>250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149</v>
      </c>
      <c r="BD15" s="229">
        <f>IF(ISNUMBER(Datos!N15),Datos!N15," - ")</f>
        <v>664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0.93529411764705883</v>
      </c>
      <c r="BH15" s="260">
        <f>IF(ISNUMBER(((IF(D_I="SI",Datos!L15/Datos!K15,(Datos!L15+Datos!AF15)/(Datos!K15+Datos!AE15)))*11)/factor_trimestre),((IF(D_I="SI",Datos!L15/Datos!K15,(Datos!L15+Datos!AF15)/(Datos!K15+Datos!AE15)))*11)/factor_trimestre," - ")</f>
        <v>3.1482479784366575</v>
      </c>
      <c r="BI15" s="243">
        <f>IF(ISNUMBER('Resol  Asuntos'!D15/NºAsuntos!G15),'Resol  Asuntos'!D15/NºAsuntos!G15," - ")</f>
        <v>0.13387241689128482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143</v>
      </c>
      <c r="G16" s="598">
        <f>IF(ISNUMBER(IF(D_I="SI",Datos!I16,Datos!I16+Datos!AC16)),IF(D_I="SI",Datos!I16,Datos!I16+Datos!AC16)," - ")</f>
        <v>139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v>
      </c>
      <c r="AC16" s="226">
        <f>IF(ISNUMBER(Datos!Q16),Datos!Q16," - ")</f>
        <v>6</v>
      </c>
      <c r="AD16" s="334"/>
      <c r="AE16" s="484"/>
      <c r="AF16" s="596">
        <f>IF(ISNUMBER(IF(D_I="SI",Datos!L16,Datos!L16+Datos!AF16)),IF(D_I="SI",Datos!L16,Datos!L16+Datos!AF16)," - ")</f>
        <v>106</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2.7619047619047619</v>
      </c>
      <c r="BH16" s="260">
        <f>IF(ISNUMBER(((IF(D_I="SI",Datos!L16/Datos!K16,(Datos!L16+Datos!AF16)/(Datos!K16+Datos!AE16)))*11)/factor_trimestre),((IF(D_I="SI",Datos!L16/Datos!K16,(Datos!L16+Datos!AF16)/(Datos!K16+Datos!AE16)))*11)/factor_trimestre," - ")</f>
        <v>3.6551724137931036</v>
      </c>
      <c r="BI16" s="243">
        <f>IF(ISNUMBER('Resol  Asuntos'!D16/NºAsuntos!G16),'Resol  Asuntos'!D16/NºAsuntos!G16," - ")</f>
        <v>0.10344827586206896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408</v>
      </c>
      <c r="AC17" s="226">
        <f>IF(ISNUMBER(Datos!Q17),Datos!Q17," - ")</f>
        <v>0</v>
      </c>
      <c r="AD17" s="334"/>
      <c r="AE17" s="484"/>
      <c r="AF17" s="332">
        <f>IF(ISNUMBER(Datos!L17),Datos!L17,"-")</f>
        <v>161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74</v>
      </c>
      <c r="BD17" s="229">
        <f>IF(ISNUMBER(Datos!N17),Datos!N17," - ")</f>
        <v>140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v>
      </c>
      <c r="BH17" s="260">
        <f>IF(ISNUMBER(((IF(D_I="SI",Datos!L17/Datos!K17,(Datos!L17+Datos!AF17)/(Datos!K17+Datos!AE17)))*11)/factor_trimestre),((IF(D_I="SI",Datos!L17/Datos!K17,(Datos!L17+Datos!AF17)/(Datos!K17+Datos!AE17)))*11)/factor_trimestre," - ")</f>
        <v>0.78921568627450978</v>
      </c>
      <c r="BI17" s="243">
        <f>IF(ISNUMBER('Resol  Asuntos'!D17/NºAsuntos!G17),'Resol  Asuntos'!D17/NºAsuntos!G17," - ")</f>
        <v>0.18137254901960784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1818</v>
      </c>
      <c r="G18" s="898">
        <f>SUBTOTAL(9,G15:G17)</f>
        <v>1992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1579</v>
      </c>
      <c r="AC18" s="899">
        <f t="shared" si="4"/>
        <v>45</v>
      </c>
      <c r="AD18" s="899">
        <f t="shared" si="4"/>
        <v>0</v>
      </c>
      <c r="AE18" s="899">
        <f t="shared" si="4"/>
        <v>0</v>
      </c>
      <c r="AF18" s="899">
        <f t="shared" si="4"/>
        <v>2019</v>
      </c>
      <c r="AG18" s="899">
        <f t="shared" si="4"/>
        <v>0</v>
      </c>
      <c r="AH18" s="899">
        <f t="shared" si="4"/>
        <v>0</v>
      </c>
      <c r="AI18" s="899">
        <f t="shared" si="4"/>
        <v>0</v>
      </c>
      <c r="AJ18" s="899">
        <f t="shared" si="4"/>
        <v>0</v>
      </c>
      <c r="AK18" s="899">
        <f t="shared" si="4"/>
        <v>0</v>
      </c>
      <c r="AL18" s="899">
        <f t="shared" si="4"/>
        <v>0</v>
      </c>
      <c r="AM18" s="899">
        <f t="shared" si="4"/>
        <v>290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229</v>
      </c>
      <c r="BD18" s="899">
        <f t="shared" si="4"/>
        <v>822</v>
      </c>
      <c r="BE18" s="899">
        <f t="shared" si="4"/>
        <v>0</v>
      </c>
      <c r="BF18" s="899">
        <f t="shared" si="4"/>
        <v>0</v>
      </c>
      <c r="BG18" s="899">
        <f>IF(ISNUMBER(Datos!K18/Datos!J18),Datos!K18/Datos!J18," - ")</f>
        <v>0.96515892420537897</v>
      </c>
      <c r="BH18" s="903">
        <f>IF(ISNUMBER(((Datos!L18/Datos!K18)*11)/factor_trimestre),((Datos!L18/Datos!K18)*11)/factor_trimestre," - ")</f>
        <v>2.5573147561747942</v>
      </c>
      <c r="BI18" s="899">
        <f>SUBTOTAL(9,BI15:BI17)</f>
        <v>0.41869324177296163</v>
      </c>
      <c r="BJ18" s="899">
        <f>SUBTOTAL(9,BJ15:BJ17)</f>
        <v>0</v>
      </c>
      <c r="BK18" s="899">
        <f>SUBTOTAL(9,BK15:BK17)</f>
        <v>0</v>
      </c>
      <c r="BL18" s="899">
        <f>IF(ISNUMBER((I18-AB18+L18)/(F18)),(I18-AB18+L18)/(F18)," - ")</f>
        <v>-0.86853685368536848</v>
      </c>
      <c r="BM18" s="905">
        <f>IF(ISNUMBER((Datos!P18-Datos!Q18)/(Datos!R18-Datos!P18+Datos!Q18)),(Datos!P18-Datos!Q18)/(Datos!R18-Datos!P18+Datos!Q18)," - ")</f>
        <v>0.10266159695817491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1989</v>
      </c>
      <c r="G19" s="820">
        <f t="shared" si="6"/>
        <v>2163</v>
      </c>
      <c r="H19" s="822">
        <f t="shared" si="6"/>
        <v>0</v>
      </c>
      <c r="I19" s="820">
        <f t="shared" si="6"/>
        <v>0</v>
      </c>
      <c r="J19" s="822">
        <f t="shared" si="6"/>
        <v>0</v>
      </c>
      <c r="K19" s="822">
        <f t="shared" si="6"/>
        <v>0</v>
      </c>
      <c r="L19" s="881">
        <f t="shared" si="6"/>
        <v>0</v>
      </c>
      <c r="M19" s="881">
        <f t="shared" si="6"/>
        <v>0</v>
      </c>
      <c r="N19" s="881">
        <f t="shared" si="6"/>
        <v>160</v>
      </c>
      <c r="O19" s="881">
        <f t="shared" si="6"/>
        <v>0</v>
      </c>
      <c r="P19" s="881">
        <f t="shared" si="6"/>
        <v>0</v>
      </c>
      <c r="Q19" s="822">
        <f t="shared" si="6"/>
        <v>478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1590</v>
      </c>
      <c r="AC19" s="821">
        <f t="shared" si="7"/>
        <v>535</v>
      </c>
      <c r="AD19" s="821">
        <f t="shared" si="7"/>
        <v>0</v>
      </c>
      <c r="AE19" s="821">
        <f t="shared" si="7"/>
        <v>0</v>
      </c>
      <c r="AF19" s="828">
        <f t="shared" si="7"/>
        <v>2227</v>
      </c>
      <c r="AG19" s="828">
        <f t="shared" si="7"/>
        <v>0</v>
      </c>
      <c r="AH19" s="828">
        <f t="shared" si="7"/>
        <v>250</v>
      </c>
      <c r="AI19" s="828">
        <f t="shared" si="7"/>
        <v>0</v>
      </c>
      <c r="AJ19" s="821">
        <f t="shared" si="7"/>
        <v>0</v>
      </c>
      <c r="AK19" s="828">
        <f t="shared" si="7"/>
        <v>0</v>
      </c>
      <c r="AL19" s="828">
        <f t="shared" si="7"/>
        <v>0</v>
      </c>
      <c r="AM19" s="828">
        <f t="shared" si="7"/>
        <v>6809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896</v>
      </c>
      <c r="BD19" s="820">
        <f t="shared" si="7"/>
        <v>1267</v>
      </c>
      <c r="BE19" s="820">
        <f t="shared" si="7"/>
        <v>0</v>
      </c>
      <c r="BF19" s="830">
        <f t="shared" si="7"/>
        <v>0</v>
      </c>
      <c r="BG19" s="915">
        <f>IF(ISNUMBER(Datos!K19/Datos!J19),Datos!K19/Datos!J19," - ")</f>
        <v>0.94183864915572235</v>
      </c>
      <c r="BH19" s="915">
        <f>IF(ISNUMBER(((Datos!L19/Datos!K19)*11)/factor_trimestre),((Datos!L19/Datos!K19)*11)/factor_trimestre," - ")</f>
        <v>3.7815405046480746</v>
      </c>
      <c r="BI19" s="813">
        <f>IF(ISNUMBER(Datos!J19/Datos!I19),Datos!J19/Datos!I19," - ")</f>
        <v>0.57736053439248958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-0.79939668174962297</v>
      </c>
      <c r="BM19" s="889">
        <f>IF(ISNUMBER((Datos!P19-Datos!Q19+R19)/(Datos!R19-Datos!P19+Datos!Q19-R19)),(Datos!P19-Datos!Q19+R19)/(Datos!R19-Datos!P19+Datos!Q19-R19)," - ")</f>
        <v>-8.3017768715409265E-3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869.59519317898719</v>
      </c>
      <c r="G21" s="552">
        <f>IF(ISNUMBER(STDEV(G8:G18)),STDEV(G8:G18),"-")</f>
        <v>879.57239611074647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665.83481434962528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274.1730423343206</v>
      </c>
      <c r="BD21" s="551"/>
      <c r="BE21" s="551">
        <f>IF(ISNUMBER(STDEV(BE8:BE18)),STDEV(BE8:BE18),"-")</f>
        <v>0</v>
      </c>
      <c r="BF21" s="556">
        <f>IF(ISNUMBER(STDEV(BF8:BF18)),STDEV(BF8:BF18),"-")</f>
        <v>0</v>
      </c>
      <c r="BG21" s="775">
        <f>IF(ISNUMBER(STDEV(BG8:BG18)),STDEV(BG8:BG18),"-")</f>
        <v>5.4359813942485422</v>
      </c>
      <c r="BH21" s="776">
        <f>IF(ISNUMBER(STDEV(BH8:BH18)),STDEV(BH8:BH18),"-")</f>
        <v>12.161472083971262</v>
      </c>
      <c r="BI21" s="249">
        <f>IF(ISNUMBER(STDEV(BI8:BI18)),STDEV(BI8:BI18),"-")</f>
        <v>0.15826641283512247</v>
      </c>
      <c r="BJ21" s="230" t="str">
        <f>IF(ISNUMBER(BL21/BM21),BL21/BM21," - ")</f>
        <v xml:space="preserve"> - </v>
      </c>
      <c r="BK21" s="575"/>
      <c r="BL21" s="559">
        <f>IF(ISNUMBER(STDEV(BL8:BL18)),STDEV(BL8:BL18),"-")</f>
        <v>0.56866189782239318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2VkbGtA/DHhSWndOu7JRzlUhX7PMW6B9zCPHV2Y3YeZYXRoFcE7+/f2TkSq3xvuelIhqt31Mu0s5c/8I/L5pQ==" saltValue="1RoLujvFIlGjq7ufRDMj2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CACERES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302</v>
      </c>
      <c r="AA9" s="332" t="str">
        <f>IF(ISNUMBER(IF(J_V="SI",Datos!L9,Datos!L9+Datos!AB9)-IF(Monitorios="SI",Datos!CD9,0)),
                          IF(J_V="SI",Datos!L9,Datos!L9+Datos!AB9)-IF(Monitorios="SI",Datos!CD9,0),
                          " - ")</f>
        <v xml:space="preserve"> - </v>
      </c>
      <c r="AB9" s="334"/>
      <c r="AC9" s="334"/>
      <c r="AD9" s="484"/>
      <c r="AE9" s="484">
        <f>IF(ISNUMBER(Datos!R9),Datos!R9," - ")</f>
        <v>4243</v>
      </c>
      <c r="AF9" s="229" t="str">
        <f>IF(ISNUMBER(Datos!BV9),Datos!BV9," - ")</f>
        <v xml:space="preserve"> - </v>
      </c>
      <c r="AG9" s="225" t="str">
        <f>IF(ISNUMBER(Datos!DV9),Datos!DV9," - ")</f>
        <v xml:space="preserve"> - </v>
      </c>
      <c r="AH9" s="298"/>
      <c r="AI9" s="227"/>
      <c r="AJ9" s="225">
        <f>IF(ISNUMBER(Datos!M9),Datos!M9," - ")</f>
        <v>634</v>
      </c>
      <c r="AK9" s="229">
        <f>IF(ISNUMBER(Datos!N9),Datos!N9," - ")</f>
        <v>435</v>
      </c>
      <c r="AL9" s="229" t="str">
        <f>IF(ISNUMBER(Datos!BW9),Datos!BW9," - ")</f>
        <v xml:space="preserve"> - </v>
      </c>
      <c r="AM9" s="228" t="str">
        <f>IF(ISNUMBER(Datos!BX9),Datos!BX9," - ")</f>
        <v xml:space="preserve"> - </v>
      </c>
      <c r="AN9" s="243"/>
      <c r="AO9" s="260">
        <f>IF(ISNUMBER(((NºAsuntos!I9/NºAsuntos!G9)*11)/factor_trimestre),((NºAsuntos!I9/NºAsuntos!G9)*11)/factor_trimestre," - ")</f>
        <v>4.7764390896921016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2.4879227053140097E-2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171</v>
      </c>
      <c r="G10" s="225">
        <f>IF(ISNUMBER(Datos!I10),Datos!I10," - ")</f>
        <v>171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1</v>
      </c>
      <c r="AA10" s="332">
        <f>IF(ISNUMBER(Datos!L10),Datos!L10,"-")</f>
        <v>208</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37.81818181818182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187</v>
      </c>
      <c r="AA12" s="332" t="str">
        <f>IF(ISNUMBER(IF(J_V="SI",Datos!L12,Datos!L12+Datos!AB12)-IF(Monitorios="SI",Datos!CD12,0)),
                          IF(J_V="SI",Datos!L12,Datos!L12+Datos!AB12)-IF(Monitorios="SI",Datos!CD12,0),
                          " - ")</f>
        <v xml:space="preserve"> - </v>
      </c>
      <c r="AB12" s="334"/>
      <c r="AC12" s="334"/>
      <c r="AD12" s="484"/>
      <c r="AE12" s="484">
        <f>IF(ISNUMBER(Datos!R12),Datos!R12," - ")</f>
        <v>2264</v>
      </c>
      <c r="AF12" s="229" t="str">
        <f>IF(ISNUMBER(Datos!BV12),Datos!BV12," - ")</f>
        <v xml:space="preserve"> - </v>
      </c>
      <c r="AG12" s="225" t="str">
        <f>IF(ISNUMBER(Datos!DV12),Datos!DV12," - ")</f>
        <v xml:space="preserve"> - </v>
      </c>
      <c r="AH12" s="298"/>
      <c r="AI12" s="227"/>
      <c r="AJ12" s="225">
        <f>IF(ISNUMBER(Datos!M12),Datos!M12," - ")</f>
        <v>22</v>
      </c>
      <c r="AK12" s="229">
        <f>IF(ISNUMBER(Datos!N12),Datos!N12," - ")</f>
        <v>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6.1224489795918364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-7.591836734693877E-2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171</v>
      </c>
      <c r="G13" s="898">
        <f>SUBTOTAL(9,G8:G12)</f>
        <v>171</v>
      </c>
      <c r="H13" s="908"/>
      <c r="I13" s="898">
        <f t="shared" ref="I13:N13" si="0">SUBTOTAL(9,I8:I12)</f>
        <v>0</v>
      </c>
      <c r="J13" s="867">
        <f t="shared" si="0"/>
        <v>0</v>
      </c>
      <c r="K13" s="908">
        <f t="shared" si="0"/>
        <v>0</v>
      </c>
      <c r="L13" s="908">
        <f t="shared" si="0"/>
        <v>0</v>
      </c>
      <c r="M13" s="908">
        <f t="shared" si="0"/>
        <v>0</v>
      </c>
      <c r="N13" s="908">
        <f t="shared" si="0"/>
        <v>406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490</v>
      </c>
      <c r="AA13" s="900">
        <f t="shared" si="2"/>
        <v>208</v>
      </c>
      <c r="AB13" s="900">
        <f t="shared" si="2"/>
        <v>0</v>
      </c>
      <c r="AC13" s="900">
        <f t="shared" si="2"/>
        <v>0</v>
      </c>
      <c r="AD13" s="900">
        <f t="shared" si="2"/>
        <v>0</v>
      </c>
      <c r="AE13" s="900">
        <f t="shared" si="2"/>
        <v>6519</v>
      </c>
      <c r="AF13" s="908">
        <f t="shared" si="2"/>
        <v>0</v>
      </c>
      <c r="AG13" s="908">
        <f t="shared" si="2"/>
        <v>0</v>
      </c>
      <c r="AH13" s="908">
        <f t="shared" si="2"/>
        <v>0</v>
      </c>
      <c r="AI13" s="908">
        <f t="shared" si="2"/>
        <v>0</v>
      </c>
      <c r="AJ13" s="908">
        <f t="shared" si="2"/>
        <v>667</v>
      </c>
      <c r="AK13" s="908">
        <f t="shared" si="2"/>
        <v>445</v>
      </c>
      <c r="AL13" s="908">
        <f t="shared" si="2"/>
        <v>0</v>
      </c>
      <c r="AM13" s="908">
        <f t="shared" si="2"/>
        <v>0</v>
      </c>
      <c r="AN13" s="908">
        <f t="shared" si="2"/>
        <v>0</v>
      </c>
      <c r="AO13" s="904">
        <f>IF(ISNUMBER(((NºAsuntos!I13/NºAsuntos!G13)*11)/factor_trimestre),((NºAsuntos!I13/NºAsuntos!G13)*11)/factor_trimestre," - ")</f>
        <v>5.0527670527670532</v>
      </c>
      <c r="AP13" s="910" t="str">
        <f>IF(ISNUMBER(Datos!CI13/Datos!CJ13),Datos!CI13/Datos!CJ13," - ")</f>
        <v xml:space="preserve"> - </v>
      </c>
      <c r="AQ13" s="928">
        <f t="shared" ref="AQ13:AV13" si="3">SUBTOTAL(9,AQ9:AQ12)</f>
        <v>0</v>
      </c>
      <c r="AR13" s="928">
        <f t="shared" si="3"/>
        <v>-0.12796221721687562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1675</v>
      </c>
      <c r="G15" s="225">
        <f>IF(ISNUMBER(IF(D_I="SI",Datos!I15,Datos!I15+Datos!AC15)),IF(D_I="SI",Datos!I15,Datos!I15+Datos!AC15)," - ")</f>
        <v>1709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1113</v>
      </c>
      <c r="Z15" s="619">
        <f>IF(ISNUMBER(Datos!Q15),Datos!Q15," - ")</f>
        <v>39</v>
      </c>
      <c r="AA15" s="332">
        <f>IF(ISNUMBER(IF(D_I="SI",Datos!L15,Datos!L15+Datos!AF15)),IF(D_I="SI",Datos!L15,Datos!L15+Datos!AF15)," - ")</f>
        <v>1752</v>
      </c>
      <c r="AB15" s="334"/>
      <c r="AC15" s="334"/>
      <c r="AD15" s="484"/>
      <c r="AE15" s="484">
        <f>IF(ISNUMBER(Datos!R15),Datos!R15," - ")</f>
        <v>250</v>
      </c>
      <c r="AF15" s="229" t="str">
        <f>IF(ISNUMBER(Datos!BV15),Datos!BV15," - ")</f>
        <v xml:space="preserve"> - </v>
      </c>
      <c r="AG15" s="225"/>
      <c r="AH15" s="298"/>
      <c r="AI15" s="227"/>
      <c r="AJ15" s="225">
        <f>IF(ISNUMBER(Datos!M15),Datos!M15," - ")</f>
        <v>149</v>
      </c>
      <c r="AK15" s="229">
        <f>IF(ISNUMBER(Datos!N15),Datos!N15," - ")</f>
        <v>664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3.1482479784366575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143</v>
      </c>
      <c r="G16" s="225">
        <f>IF(ISNUMBER(IF(D_I="SI",Datos!I16,Datos!I16+Datos!AC16)),IF(D_I="SI",Datos!I16,Datos!I16+Datos!AC16)," - ")</f>
        <v>139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v>
      </c>
      <c r="Z16" s="619">
        <f>IF(ISNUMBER(Datos!Q16),Datos!Q16," - ")</f>
        <v>6</v>
      </c>
      <c r="AA16" s="332">
        <f>IF(ISNUMBER(IF(D_I="SI",Datos!L16,Datos!L16+Datos!AF16)),IF(D_I="SI",Datos!L16,Datos!L16+Datos!AF16)," - ")</f>
        <v>106</v>
      </c>
      <c r="AB16" s="334"/>
      <c r="AC16" s="334"/>
      <c r="AD16" s="484"/>
      <c r="AE16" s="484">
        <f>IF(ISNUMBER(Datos!R16),Datos!R16," - ")</f>
        <v>40</v>
      </c>
      <c r="AF16" s="229" t="str">
        <f>IF(ISNUMBER(Datos!BV16),Datos!BV16," - ")</f>
        <v xml:space="preserve"> - </v>
      </c>
      <c r="AG16" s="225"/>
      <c r="AH16" s="298"/>
      <c r="AI16" s="227"/>
      <c r="AJ16" s="225">
        <f>IF(ISNUMBER(Datos!M16),Datos!M16," - ")</f>
        <v>6</v>
      </c>
      <c r="AK16" s="229">
        <f>IF(ISNUMBER(Datos!N16),Datos!N16," - ")</f>
        <v>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3.6551724137931036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408</v>
      </c>
      <c r="Z17" s="619">
        <f>IF(ISNUMBER(Datos!Q17),Datos!Q17," - ")</f>
        <v>0</v>
      </c>
      <c r="AA17" s="332">
        <f>IF(ISNUMBER(Datos!L17),Datos!L17,"-")</f>
        <v>161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74</v>
      </c>
      <c r="AK17" s="229">
        <f>IF(ISNUMBER(Datos!N17),Datos!N17," - ")</f>
        <v>140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0.78921568627450978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1818</v>
      </c>
      <c r="G18" s="898">
        <f>SUBTOTAL(9,G15:G17)</f>
        <v>1992</v>
      </c>
      <c r="H18" s="932">
        <f>SUBTOTAL(9,H15:H17)</f>
        <v>0</v>
      </c>
      <c r="I18" s="911">
        <f>SUBTOTAL(9,I15:I17)</f>
        <v>0</v>
      </c>
      <c r="J18" s="867">
        <f>SUBTOTAL(9,J14:J17)</f>
        <v>0</v>
      </c>
      <c r="K18" s="932">
        <f t="shared" ref="K18:S18" si="4">SUBTOTAL(9,K15:K17)</f>
        <v>0</v>
      </c>
      <c r="L18" s="932">
        <f t="shared" si="4"/>
        <v>0</v>
      </c>
      <c r="M18" s="932">
        <f t="shared" si="4"/>
        <v>0</v>
      </c>
      <c r="N18" s="932">
        <f t="shared" si="4"/>
        <v>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1579</v>
      </c>
      <c r="Z18" s="932">
        <f t="shared" si="5"/>
        <v>45</v>
      </c>
      <c r="AA18" s="932">
        <f t="shared" si="5"/>
        <v>2019</v>
      </c>
      <c r="AB18" s="932">
        <f t="shared" si="5"/>
        <v>0</v>
      </c>
      <c r="AC18" s="932">
        <f t="shared" si="5"/>
        <v>0</v>
      </c>
      <c r="AD18" s="932">
        <f t="shared" si="5"/>
        <v>0</v>
      </c>
      <c r="AE18" s="932">
        <f t="shared" si="5"/>
        <v>290</v>
      </c>
      <c r="AF18" s="932">
        <f t="shared" si="5"/>
        <v>0</v>
      </c>
      <c r="AG18" s="932">
        <f t="shared" si="5"/>
        <v>0</v>
      </c>
      <c r="AH18" s="932">
        <f t="shared" si="5"/>
        <v>0</v>
      </c>
      <c r="AI18" s="932">
        <f t="shared" si="5"/>
        <v>0</v>
      </c>
      <c r="AJ18" s="932">
        <f t="shared" si="5"/>
        <v>229</v>
      </c>
      <c r="AK18" s="932">
        <f t="shared" si="5"/>
        <v>822</v>
      </c>
      <c r="AL18" s="932">
        <f t="shared" si="5"/>
        <v>0</v>
      </c>
      <c r="AM18" s="932">
        <f t="shared" si="5"/>
        <v>0</v>
      </c>
      <c r="AN18" s="932">
        <f t="shared" si="5"/>
        <v>0</v>
      </c>
      <c r="AO18" s="934">
        <f>IF(ISNUMBER(((NºAsuntos!I18/NºAsuntos!G18)*11)/factor_trimestre),((NºAsuntos!I18/NºAsuntos!G18)*11)/factor_trimestre," - ")</f>
        <v>2.5573147561747942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1989</v>
      </c>
      <c r="G19" s="820">
        <f t="shared" si="7"/>
        <v>2163</v>
      </c>
      <c r="H19" s="821">
        <f t="shared" si="7"/>
        <v>0</v>
      </c>
      <c r="I19" s="820">
        <f t="shared" si="7"/>
        <v>0</v>
      </c>
      <c r="J19" s="822">
        <f t="shared" si="7"/>
        <v>0</v>
      </c>
      <c r="K19" s="820">
        <f t="shared" si="7"/>
        <v>0</v>
      </c>
      <c r="L19" s="823">
        <f t="shared" si="7"/>
        <v>0</v>
      </c>
      <c r="M19" s="820">
        <f t="shared" si="7"/>
        <v>0</v>
      </c>
      <c r="N19" s="821">
        <f t="shared" si="7"/>
        <v>478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1590</v>
      </c>
      <c r="Z19" s="827">
        <f t="shared" si="8"/>
        <v>535</v>
      </c>
      <c r="AA19" s="828">
        <f t="shared" si="8"/>
        <v>2227</v>
      </c>
      <c r="AB19" s="828">
        <f t="shared" si="8"/>
        <v>0</v>
      </c>
      <c r="AC19" s="828">
        <f t="shared" si="8"/>
        <v>0</v>
      </c>
      <c r="AD19" s="829">
        <f t="shared" si="8"/>
        <v>0</v>
      </c>
      <c r="AE19" s="829">
        <f t="shared" si="8"/>
        <v>6809</v>
      </c>
      <c r="AF19" s="830">
        <f t="shared" si="8"/>
        <v>0</v>
      </c>
      <c r="AG19" s="831">
        <f t="shared" si="8"/>
        <v>0</v>
      </c>
      <c r="AH19" s="832">
        <f t="shared" si="8"/>
        <v>0</v>
      </c>
      <c r="AI19" s="830">
        <f t="shared" si="8"/>
        <v>0</v>
      </c>
      <c r="AJ19" s="820">
        <f t="shared" si="8"/>
        <v>896</v>
      </c>
      <c r="AK19" s="820">
        <f t="shared" si="8"/>
        <v>1267</v>
      </c>
      <c r="AL19" s="820">
        <f t="shared" si="8"/>
        <v>0</v>
      </c>
      <c r="AM19" s="833">
        <f t="shared" si="8"/>
        <v>0</v>
      </c>
      <c r="AN19" s="823">
        <f>IF(ISNUMBER(Datos!K19/Datos!J19),Datos!K19/Datos!J19," - ")</f>
        <v>0.94183864915572235</v>
      </c>
      <c r="AO19" s="823">
        <f>IF(ISNUMBER(FIND("06",Criterios!A8,1)),(IF(ISNUMBER(((Datos!R19/Datos!Q19)*11)/factor_trimestre),((Datos!R19/Datos!Q19)*11)/factor_trimestre," - ")),(IF(ISNUMBER(((Datos!L19/Datos!K19)*11)/factor_trimestre),((Datos!L19/Datos!K19)*11)/factor_trimestre," - ")))</f>
        <v>3.7815405046480746</v>
      </c>
      <c r="AP19" s="834" t="str">
        <f>IF(ISNUMBER(Datos!CI19/Datos!CJ19),Datos!CI19/Datos!CJ19," - ")</f>
        <v xml:space="preserve"> - </v>
      </c>
      <c r="AQ19" s="834">
        <f>IF(OR(ISNUMBER(FIND("01",Criterios!A8,1)),ISNUMBER(FIND("02",Criterios!A8,1)),ISNUMBER(FIND("03",Criterios!A8,1)),ISNUMBER(FIND("04",Criterios!A8,1))),(J19-Y19+K19)/(F19-K19),(I19-Y19+K19)/(F19-K19))</f>
        <v>-0.79939668174962297</v>
      </c>
      <c r="AR19" s="834">
        <f>IF(ISNUMBER((Datos!P19-Datos!Q19+O19)/(Datos!R19-Datos!P19+Datos!Q19-O19)),(Datos!P19-Datos!Q19+O19)/(Datos!R19-Datos!P19+Datos!Q19-O19)," - ")</f>
        <v>-8.3017768715409265E-3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869.59519317898719</v>
      </c>
      <c r="G21" s="552">
        <f>IF(ISNUMBER(STDEV(G8:G18)),STDEV(G8:G18),"-")</f>
        <v>879.57239611074647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274.1730423343206</v>
      </c>
      <c r="AK21" s="252"/>
      <c r="AL21" s="252">
        <f>IF(ISNUMBER(STDEV(AL8:AL18)),STDEV(AL8:AL18),"-")</f>
        <v>0</v>
      </c>
      <c r="AM21" s="254">
        <f>IF(ISNUMBER(STDEV(AM8:AM18)),STDEV(AM8:AM18),"-")</f>
        <v>0</v>
      </c>
      <c r="AN21" s="539">
        <f>IF(ISNUMBER(STDEV(AN8:AN18)),STDEV(AN8:AN18),"-")</f>
        <v>0</v>
      </c>
      <c r="AO21" s="540">
        <f>IF(ISNUMBER(STDEV(AO8:AO18)),STDEV(AO8:AO18),"-")</f>
        <v>12.164122568491585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H/bMp3YDxrmivI8oyiYUHR/XC/v89sX52ZMTa/mJoPasiF8yeWlDSgknoY65j5ecEu+a6Q/hQJ5GqHfvArqKA==" saltValue="ARRUqRvH8uf+2G4HQC4V3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NMS8Yb3u74LVDaLLBPUug6AC6mxFX0jVZFNsTtj0K8gL7Hib1P01Nx4gIilDuSUAqxeY+LdCnFguFCXc+hyQ==" saltValue="mBm6pkX1H+qDpU05/vg6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k77w64wO/6lw2T8E/YjOvB+8C8KUzdP+CUxK51Bnw/OhmLiqXv1TZwyCJmxTaPaNlsEBOnOo9AxIzCjHiemQ==" saltValue="o1yjtjiBPY6H4S+GqMgH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0.42921492921492921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0.30350078703438044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ZZqgHHy7ZMoMRY45Q8Pc4wfwTgSqZjIpZiqRf/MxlWv6Dct5bdYb1r+rWLVdcm4au9VTF0s8SrPpSsIztEUdQ==" saltValue="hx+ROy+vDewTBR5YwkD5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NihXJQEHDuazYa8OLmHdIyv8LSg3E7ZCg4/I3yoSh+6e7Qv+uerBXOAT3QVQJM1bD8auLj93OJY12qoegk1w9g==" saltValue="oFPrXdSZPiXond3RAdWe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CACERES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171</v>
      </c>
      <c r="G10" s="684">
        <f>IF(ISNUMBER(Datos!I10),Datos!I10," - ")</f>
        <v>171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208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37.81818181818182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v>
      </c>
      <c r="AM12" s="690">
        <f>IF(ISNUMBER(Datos!N12+DatosP!N16),Datos!N12+DatosP!N16," - ")</f>
        <v>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6.1224489795918364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-7.591836734693877E-2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171</v>
      </c>
      <c r="G13" s="938">
        <f t="shared" si="0"/>
        <v>171</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187</v>
      </c>
      <c r="AE13" s="939">
        <f t="shared" si="1"/>
        <v>0</v>
      </c>
      <c r="AF13" s="939">
        <f t="shared" si="1"/>
        <v>208</v>
      </c>
      <c r="AG13" s="939">
        <f t="shared" si="1"/>
        <v>0</v>
      </c>
      <c r="AH13" s="939">
        <f t="shared" si="1"/>
        <v>2264</v>
      </c>
      <c r="AI13" s="939">
        <f t="shared" si="1"/>
        <v>0</v>
      </c>
      <c r="AJ13" s="939">
        <f t="shared" si="1"/>
        <v>0</v>
      </c>
      <c r="AK13" s="939">
        <f t="shared" si="1"/>
        <v>0</v>
      </c>
      <c r="AL13" s="939">
        <f t="shared" si="1"/>
        <v>33</v>
      </c>
      <c r="AM13" s="939">
        <f t="shared" si="1"/>
        <v>10</v>
      </c>
      <c r="AN13" s="939">
        <f t="shared" si="1"/>
        <v>0</v>
      </c>
      <c r="AO13" s="939">
        <f t="shared" si="1"/>
        <v>0</v>
      </c>
      <c r="AP13" s="944">
        <f>IF(ISNUMBER(((Datos!L13/Datos!K13)*11)/factor_trimestre),((Datos!L13/Datos!K13)*11)/factor_trimestre," - ")</f>
        <v>5.1304954640614095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-6.4327485380116955E-2</v>
      </c>
      <c r="AU13" s="939" t="str">
        <f>IF(ISNUMBER((DatosP!#REF!-DatosP!#REF!+DatosP!#REF!)/(DatosP!#REF!+DatosP!#REF!-DatosP!#REF!-DatosP!#REF!)),(DatosP!#REF!-DatosP!#REF!+DatosP!#REF!)/(DatosP!#REF!+DatosP!#REF!-DatosP!#REF!-DatosP!#REF!)," - ")</f>
        <v xml:space="preserve"> - </v>
      </c>
      <c r="AV13" s="945">
        <f>SUBTOTAL(9,AV9:AV12)</f>
        <v>-7.591836734693877E-2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2.5573147561747942</v>
      </c>
      <c r="AQ18" s="944">
        <f>IF(ISNUMBER(((Datos!M18/Datos!L18)*11)/factor_trimestre),((Datos!M18/Datos!L18)*11)/factor_trimestre," - ")</f>
        <v>0.22684497275879148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0.10266159695817491</v>
      </c>
      <c r="AW18" s="946">
        <f>IF(ISNUMBER((Datos!Q18-Datos!R18)/(Datos!S18-Datos!Q18+Datos!R18)),(Datos!Q18-Datos!R18)/(Datos!S18-Datos!Q18+Datos!R18)," - ")</f>
        <v>-0.10821554770318022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171</v>
      </c>
      <c r="G19" s="951">
        <f t="shared" si="4"/>
        <v>171</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187</v>
      </c>
      <c r="AE19" s="957">
        <f t="shared" si="5"/>
        <v>0</v>
      </c>
      <c r="AF19" s="958">
        <f t="shared" si="5"/>
        <v>208</v>
      </c>
      <c r="AG19" s="958">
        <f t="shared" si="5"/>
        <v>0</v>
      </c>
      <c r="AH19" s="958">
        <f t="shared" si="5"/>
        <v>2264</v>
      </c>
      <c r="AI19" s="958">
        <f t="shared" si="5"/>
        <v>0</v>
      </c>
      <c r="AJ19" s="959">
        <f t="shared" si="5"/>
        <v>0</v>
      </c>
      <c r="AK19" s="959">
        <f t="shared" si="5"/>
        <v>0</v>
      </c>
      <c r="AL19" s="951">
        <f t="shared" si="5"/>
        <v>33</v>
      </c>
      <c r="AM19" s="951">
        <f t="shared" si="5"/>
        <v>10</v>
      </c>
      <c r="AN19" s="951">
        <f t="shared" si="5"/>
        <v>0</v>
      </c>
      <c r="AO19" s="951">
        <f t="shared" si="5"/>
        <v>0</v>
      </c>
      <c r="AP19" s="951">
        <f>IF(ISNUMBER(((Datos!L19/Datos!K19)*11)/factor_trimestre),((Datos!L19/Datos!K19)*11)/factor_trimestre," - ")</f>
        <v>3.7815405046480746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-6.4327485380116955E-2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-8.3017768715409265E-3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98.726896031426008</v>
      </c>
      <c r="G21" s="737">
        <f>IF(ISNUMBER(STDEV(G8:G18)),STDEV(G8:G18),"-")</f>
        <v>98.726896031426008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14.200938936093861</v>
      </c>
      <c r="AM21" s="736"/>
      <c r="AN21" s="736">
        <f>IF(ISNUMBER(STDEV(AN8:AN18)),STDEV(AN8:AN18),"-")</f>
        <v>0</v>
      </c>
      <c r="AO21" s="742">
        <f>IF(ISNUMBER(STDEV(AO8:AO18)),STDEV(AO8:AO18),"-")</f>
        <v>0</v>
      </c>
      <c r="AP21" s="779">
        <f>IF(ISNUMBER(STDEV(AP8:AP18)),STDEV(AP8:AP18),"-")</f>
        <v>16.675202342821674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Ltql99vDSLl1dAK+u3Fb8IS8ge7eRKoCjRKX+2jBtwAVZYYu1W92PmQvacXOV4h+UFpIYOJe+MExoqhcmQY/A==" saltValue="aaD65SdgBRFE0G6G/uEj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